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1.xml" ContentType="application/vnd.openxmlformats-officedocument.drawingml.chart+xml"/>
  <Override PartName="/xl/charts/style2.xml" ContentType="application/vnd.ms-office.chartstyle+xml"/>
  <Override PartName="/xl/charts/colors2.xml" ContentType="application/vnd.ms-office.chartcolorstyle+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phdisegutl.sharepoint.com/sites/LIS-GENERAL-SecuritiesResearch/Shared Documents/Research/Global Edge/24-25/PM – Equities/KRX_005930 (Samsung Electronics)/"/>
    </mc:Choice>
  </mc:AlternateContent>
  <xr:revisionPtr revIDLastSave="804" documentId="13_ncr:1_{F22C348C-2D9D-48E5-B1D6-0E02E97EB0D1}" xr6:coauthVersionLast="47" xr6:coauthVersionMax="47" xr10:uidLastSave="{B961872A-0503-4F3A-A415-A87819763BD4}"/>
  <bookViews>
    <workbookView xWindow="2340" yWindow="2340" windowWidth="21600" windowHeight="11295" xr2:uid="{46387BAC-C938-40B7-AF45-657286ABBE3A}"/>
  </bookViews>
  <sheets>
    <sheet name="DCF" sheetId="9" r:id="rId1"/>
    <sheet name="TradingComps" sheetId="6" r:id="rId2"/>
    <sheet name="DCF Support" sheetId="4" r:id="rId3"/>
    <sheet name="WACC" sheetId="1" r:id="rId4"/>
    <sheet name="Figures" sheetId="5" r:id="rId5"/>
    <sheet name="Historicals" sheetId="8" r:id="rId6"/>
  </sheets>
  <definedNames>
    <definedName name="_xlchart.v1.0" hidden="1">Figures!$H$4:$H$7</definedName>
    <definedName name="_xlchart.v1.1" hidden="1">Figures!$K$4:$K$7</definedName>
  </definedNames>
  <calcPr calcId="191028" iterate="1" iterateCount="1000" iterateDelta="9.9999999999999995E-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6" l="1"/>
  <c r="AB16" i="6"/>
  <c r="Z10" i="6"/>
  <c r="D27" i="6"/>
  <c r="AB10" i="6"/>
  <c r="E26" i="6"/>
  <c r="I24" i="4"/>
  <c r="G14" i="4"/>
  <c r="K38" i="4"/>
  <c r="J38" i="4"/>
  <c r="I39" i="4"/>
  <c r="G39" i="4"/>
  <c r="H25" i="4"/>
  <c r="G7" i="4"/>
  <c r="I13" i="4"/>
  <c r="I6" i="4" s="1"/>
  <c r="H14" i="4"/>
  <c r="J24" i="4"/>
  <c r="J13" i="4"/>
  <c r="K13" i="4" s="1"/>
  <c r="H6" i="4"/>
  <c r="G6" i="4"/>
  <c r="E14" i="4"/>
  <c r="G17" i="4"/>
  <c r="F9" i="4"/>
  <c r="E9" i="4"/>
  <c r="D9" i="4"/>
  <c r="H7" i="4"/>
  <c r="N33" i="4"/>
  <c r="K10" i="8"/>
  <c r="L122" i="9" a="1"/>
  <c r="L122" i="9" s="1"/>
  <c r="L119" i="9" a="1"/>
  <c r="L119" i="9" s="1"/>
  <c r="P108" i="9"/>
  <c r="H108" i="9" s="1"/>
  <c r="H107" i="9" s="1"/>
  <c r="I107" i="9" s="1"/>
  <c r="J107" i="9" s="1"/>
  <c r="K107" i="9" s="1"/>
  <c r="L107" i="9" s="1"/>
  <c r="L102" i="9"/>
  <c r="K102" i="9"/>
  <c r="J102" i="9"/>
  <c r="I102" i="9"/>
  <c r="H102" i="9"/>
  <c r="E101" i="9"/>
  <c r="G98" i="9"/>
  <c r="G95" i="9"/>
  <c r="L91" i="9"/>
  <c r="K91" i="9"/>
  <c r="J91" i="9"/>
  <c r="I91" i="9"/>
  <c r="H91" i="9"/>
  <c r="G90" i="9"/>
  <c r="G91" i="9" s="1"/>
  <c r="F90" i="9"/>
  <c r="F91" i="9" s="1"/>
  <c r="E90" i="9"/>
  <c r="E91" i="9" s="1"/>
  <c r="K88" i="9"/>
  <c r="J88" i="9"/>
  <c r="I88" i="9"/>
  <c r="L87" i="9"/>
  <c r="L85" i="9" s="1"/>
  <c r="K87" i="9"/>
  <c r="J87" i="9"/>
  <c r="J86" i="9" s="1"/>
  <c r="I87" i="9"/>
  <c r="H87" i="9"/>
  <c r="H85" i="9" s="1"/>
  <c r="L86" i="9"/>
  <c r="K86" i="9"/>
  <c r="I86" i="9"/>
  <c r="K85" i="9"/>
  <c r="J85" i="9"/>
  <c r="I85" i="9"/>
  <c r="F84" i="9"/>
  <c r="F85" i="9" s="1"/>
  <c r="G78" i="9"/>
  <c r="G79" i="9" s="1"/>
  <c r="F78" i="9"/>
  <c r="F79" i="9" s="1"/>
  <c r="E78" i="9"/>
  <c r="E76" i="9"/>
  <c r="E74" i="9"/>
  <c r="E73" i="9"/>
  <c r="E102" i="9" s="1"/>
  <c r="X72" i="9"/>
  <c r="W72" i="9"/>
  <c r="G69" i="9"/>
  <c r="G70" i="9" s="1"/>
  <c r="F69" i="9"/>
  <c r="F98" i="9" s="1"/>
  <c r="E69" i="9"/>
  <c r="E70" i="9" s="1"/>
  <c r="G66" i="9"/>
  <c r="G67" i="9" s="1"/>
  <c r="F66" i="9"/>
  <c r="F95" i="9" s="1"/>
  <c r="E66" i="9"/>
  <c r="E67" i="9" s="1"/>
  <c r="F64" i="9"/>
  <c r="E64" i="9"/>
  <c r="G61" i="9"/>
  <c r="G62" i="9" s="1"/>
  <c r="F61" i="9"/>
  <c r="F62" i="9" s="1"/>
  <c r="E61" i="9"/>
  <c r="E62" i="9" s="1"/>
  <c r="G58" i="9"/>
  <c r="G59" i="9" s="1"/>
  <c r="F58" i="9"/>
  <c r="F72" i="9" s="1"/>
  <c r="E58" i="9"/>
  <c r="E59" i="9" s="1"/>
  <c r="G56" i="9"/>
  <c r="F56" i="9"/>
  <c r="E56" i="9"/>
  <c r="H56" i="9" s="1"/>
  <c r="I53" i="9"/>
  <c r="H53" i="9"/>
  <c r="H52" i="9"/>
  <c r="I52" i="9" s="1"/>
  <c r="G50" i="9"/>
  <c r="F50" i="9"/>
  <c r="E50" i="9"/>
  <c r="G47" i="9"/>
  <c r="G48" i="9" s="1"/>
  <c r="F47" i="9"/>
  <c r="F48" i="9" s="1"/>
  <c r="E47" i="9"/>
  <c r="E48" i="9" s="1"/>
  <c r="H48" i="9" s="1"/>
  <c r="G45" i="9"/>
  <c r="F45" i="9"/>
  <c r="E45" i="9"/>
  <c r="H45" i="9" s="1"/>
  <c r="G42" i="9"/>
  <c r="F42" i="9"/>
  <c r="H42" i="9" s="1"/>
  <c r="E42" i="9"/>
  <c r="F37" i="9"/>
  <c r="E37" i="9"/>
  <c r="G32" i="9"/>
  <c r="G35" i="9" s="1"/>
  <c r="F32" i="9"/>
  <c r="F35" i="9" s="1"/>
  <c r="E32" i="9"/>
  <c r="E35" i="9" s="1"/>
  <c r="G30" i="9"/>
  <c r="J30" i="9" s="1"/>
  <c r="F30" i="9"/>
  <c r="I30" i="9" s="1"/>
  <c r="E30" i="9"/>
  <c r="H30" i="9" s="1"/>
  <c r="H27" i="9"/>
  <c r="G27" i="9"/>
  <c r="F27" i="9"/>
  <c r="I27" i="9" s="1"/>
  <c r="E27" i="9"/>
  <c r="J23" i="9"/>
  <c r="I23" i="9"/>
  <c r="H23" i="9"/>
  <c r="G23" i="9"/>
  <c r="G84" i="9" s="1"/>
  <c r="F23" i="9"/>
  <c r="F24" i="9" s="1"/>
  <c r="E23" i="9"/>
  <c r="E84" i="9" s="1"/>
  <c r="H21" i="9"/>
  <c r="G21" i="9"/>
  <c r="F21" i="9"/>
  <c r="I21" i="9" s="1"/>
  <c r="E21" i="9"/>
  <c r="W18" i="9"/>
  <c r="G18" i="9"/>
  <c r="F18" i="9"/>
  <c r="I17" i="9"/>
  <c r="H17" i="9"/>
  <c r="H18" i="9" s="1"/>
  <c r="H81" i="9" s="1"/>
  <c r="F15" i="9"/>
  <c r="F76" i="9" s="1"/>
  <c r="C13" i="9"/>
  <c r="S110" i="9" s="1"/>
  <c r="C12" i="9"/>
  <c r="W11" i="9" a="1"/>
  <c r="W11" i="9" s="1"/>
  <c r="L8" i="9"/>
  <c r="F8" i="9"/>
  <c r="I7" i="9"/>
  <c r="L7" i="9" s="1"/>
  <c r="F7" i="9"/>
  <c r="B2" i="9" a="1"/>
  <c r="B2" i="9" s="1"/>
  <c r="K24" i="4" l="1"/>
  <c r="J26" i="4"/>
  <c r="F101" i="9"/>
  <c r="F74" i="9"/>
  <c r="F73" i="9"/>
  <c r="F102" i="9" s="1"/>
  <c r="J27" i="9"/>
  <c r="G96" i="9"/>
  <c r="G85" i="9"/>
  <c r="G93" i="9"/>
  <c r="H82" i="9"/>
  <c r="H80" i="9"/>
  <c r="H79" i="9"/>
  <c r="H78" i="9" s="1"/>
  <c r="K30" i="9"/>
  <c r="E99" i="9"/>
  <c r="I20" i="9"/>
  <c r="I55" i="9" s="1"/>
  <c r="H41" i="9"/>
  <c r="I42" i="9"/>
  <c r="E96" i="9"/>
  <c r="I48" i="9"/>
  <c r="H47" i="9"/>
  <c r="J21" i="9"/>
  <c r="G99" i="9"/>
  <c r="I45" i="9"/>
  <c r="E85" i="9"/>
  <c r="E93" i="9"/>
  <c r="I26" i="9"/>
  <c r="G72" i="9"/>
  <c r="K27" i="9"/>
  <c r="L27" i="9" s="1"/>
  <c r="F70" i="9"/>
  <c r="G15" i="9"/>
  <c r="E24" i="9"/>
  <c r="L88" i="9"/>
  <c r="F67" i="9"/>
  <c r="E95" i="9"/>
  <c r="E98" i="9"/>
  <c r="I18" i="9"/>
  <c r="I81" i="9" s="1"/>
  <c r="G24" i="9"/>
  <c r="H86" i="9"/>
  <c r="F93" i="9"/>
  <c r="H88" i="9"/>
  <c r="H20" i="9"/>
  <c r="H26" i="9"/>
  <c r="F59" i="9"/>
  <c r="H59" i="9" s="1"/>
  <c r="H55" i="9" l="1"/>
  <c r="H44" i="9"/>
  <c r="H58" i="9"/>
  <c r="I59" i="9"/>
  <c r="J42" i="9"/>
  <c r="I41" i="9"/>
  <c r="I80" i="9"/>
  <c r="I82" i="9"/>
  <c r="I79" i="9"/>
  <c r="I78" i="9" s="1"/>
  <c r="H15" i="9"/>
  <c r="G64" i="9"/>
  <c r="G37" i="9"/>
  <c r="G76" i="9"/>
  <c r="F96" i="9"/>
  <c r="I67" i="9"/>
  <c r="H67" i="9"/>
  <c r="F99" i="9"/>
  <c r="I70" i="9"/>
  <c r="J45" i="9"/>
  <c r="I44" i="9"/>
  <c r="J48" i="9"/>
  <c r="I47" i="9"/>
  <c r="K21" i="9"/>
  <c r="G101" i="9"/>
  <c r="G74" i="9"/>
  <c r="G73" i="9"/>
  <c r="G102" i="9" s="1"/>
  <c r="H72" i="9"/>
  <c r="H101" i="9" s="1"/>
  <c r="H84" i="9"/>
  <c r="L30" i="9"/>
  <c r="H70" i="9"/>
  <c r="I58" i="9" l="1"/>
  <c r="J59" i="9"/>
  <c r="I84" i="9"/>
  <c r="I15" i="9"/>
  <c r="H64" i="9"/>
  <c r="H37" i="9"/>
  <c r="H76" i="9"/>
  <c r="L21" i="9"/>
  <c r="H96" i="9"/>
  <c r="J67" i="9"/>
  <c r="I99" i="9"/>
  <c r="I69" i="9"/>
  <c r="I98" i="9" s="1"/>
  <c r="I96" i="9"/>
  <c r="I72" i="9"/>
  <c r="I101" i="9" s="1"/>
  <c r="K48" i="9"/>
  <c r="H99" i="9"/>
  <c r="H69" i="9"/>
  <c r="J70" i="9"/>
  <c r="K45" i="9"/>
  <c r="K42" i="9"/>
  <c r="J96" i="9" l="1"/>
  <c r="J15" i="9"/>
  <c r="I37" i="9"/>
  <c r="I64" i="9"/>
  <c r="I76" i="9"/>
  <c r="L42" i="9"/>
  <c r="K67" i="9"/>
  <c r="J99" i="9"/>
  <c r="K59" i="9"/>
  <c r="H98" i="9"/>
  <c r="H50" i="9"/>
  <c r="K70" i="9"/>
  <c r="L45" i="9"/>
  <c r="L48" i="9"/>
  <c r="K99" i="9" l="1"/>
  <c r="K96" i="9"/>
  <c r="H66" i="9"/>
  <c r="L70" i="9"/>
  <c r="K15" i="9"/>
  <c r="J64" i="9"/>
  <c r="J37" i="9"/>
  <c r="J76" i="9"/>
  <c r="L67" i="9"/>
  <c r="L59" i="9"/>
  <c r="L96" i="9" l="1"/>
  <c r="H61" i="9"/>
  <c r="H29" i="9" s="1"/>
  <c r="H32" i="9" s="1"/>
  <c r="H34" i="9" s="1"/>
  <c r="H90" i="9" s="1"/>
  <c r="H93" i="9" s="1"/>
  <c r="H95" i="9"/>
  <c r="L99" i="9"/>
  <c r="I50" i="9"/>
  <c r="L15" i="9"/>
  <c r="K64" i="9"/>
  <c r="K37" i="9"/>
  <c r="K76" i="9"/>
  <c r="H104" i="9" l="1"/>
  <c r="H105" i="9" s="1"/>
  <c r="I66" i="9"/>
  <c r="L76" i="9"/>
  <c r="L64" i="9"/>
  <c r="L37" i="9"/>
  <c r="I95" i="9" l="1"/>
  <c r="I61" i="9"/>
  <c r="I29" i="9" s="1"/>
  <c r="I32" i="9" s="1"/>
  <c r="I34" i="9" s="1"/>
  <c r="I90" i="9" s="1"/>
  <c r="I93" i="9" s="1"/>
  <c r="I104" i="9" s="1"/>
  <c r="I105" i="9" s="1"/>
  <c r="G10" i="1" l="1"/>
  <c r="M22" i="4"/>
  <c r="F8" i="5"/>
  <c r="N19" i="4"/>
  <c r="K20" i="8"/>
  <c r="I28" i="5"/>
  <c r="L22" i="8"/>
  <c r="M22" i="8"/>
  <c r="N22" i="8"/>
  <c r="O22" i="8"/>
  <c r="K22" i="8"/>
  <c r="L39" i="8"/>
  <c r="M39" i="8"/>
  <c r="N39" i="8"/>
  <c r="O39" i="8"/>
  <c r="M40" i="8"/>
  <c r="N40" i="8"/>
  <c r="O40" i="8"/>
  <c r="K40" i="8"/>
  <c r="K39" i="8"/>
  <c r="L35" i="8"/>
  <c r="M35" i="8"/>
  <c r="N35" i="8"/>
  <c r="O35" i="8"/>
  <c r="L36" i="8"/>
  <c r="M36" i="8"/>
  <c r="N36" i="8"/>
  <c r="O36" i="8"/>
  <c r="M37" i="8"/>
  <c r="N37" i="8"/>
  <c r="O37" i="8"/>
  <c r="K37" i="8"/>
  <c r="K35" i="8"/>
  <c r="K36" i="8"/>
  <c r="L30" i="8"/>
  <c r="M30" i="8"/>
  <c r="N30" i="8"/>
  <c r="O30" i="8"/>
  <c r="L31" i="8"/>
  <c r="M31" i="8"/>
  <c r="N31" i="8"/>
  <c r="O31" i="8"/>
  <c r="L32" i="8"/>
  <c r="M32" i="8"/>
  <c r="N32" i="8"/>
  <c r="O32" i="8"/>
  <c r="L33" i="8"/>
  <c r="M33" i="8"/>
  <c r="N33" i="8"/>
  <c r="O33" i="8"/>
  <c r="D42" i="8"/>
  <c r="L17" i="8"/>
  <c r="M17" i="8"/>
  <c r="N17" i="8"/>
  <c r="O17" i="8"/>
  <c r="L18" i="8"/>
  <c r="M18" i="8"/>
  <c r="N18" i="8"/>
  <c r="O18" i="8"/>
  <c r="L19" i="8"/>
  <c r="M19" i="8"/>
  <c r="N19" i="8"/>
  <c r="O19" i="8"/>
  <c r="L20" i="8"/>
  <c r="M20" i="8"/>
  <c r="N20" i="8"/>
  <c r="O20" i="8"/>
  <c r="K19" i="8"/>
  <c r="K18" i="8"/>
  <c r="K17" i="8"/>
  <c r="O16" i="8"/>
  <c r="N16" i="8"/>
  <c r="M16" i="8"/>
  <c r="L16" i="8"/>
  <c r="K16" i="8"/>
  <c r="L15" i="8"/>
  <c r="M15" i="8"/>
  <c r="N15" i="8"/>
  <c r="O15" i="8"/>
  <c r="K15" i="8"/>
  <c r="O13" i="8"/>
  <c r="N13" i="8"/>
  <c r="M13" i="8"/>
  <c r="L13" i="8"/>
  <c r="O12" i="8"/>
  <c r="N12" i="8"/>
  <c r="M12" i="8"/>
  <c r="L12" i="8"/>
  <c r="O11" i="8"/>
  <c r="N11" i="8"/>
  <c r="M11" i="8"/>
  <c r="L11" i="8"/>
  <c r="O10" i="8"/>
  <c r="N10" i="8"/>
  <c r="M10" i="8"/>
  <c r="L10" i="8"/>
  <c r="L6" i="8"/>
  <c r="M6" i="8"/>
  <c r="N6" i="8"/>
  <c r="O6" i="8"/>
  <c r="D29" i="8"/>
  <c r="D27" i="8"/>
  <c r="D26" i="8"/>
  <c r="L7" i="8"/>
  <c r="M7" i="8"/>
  <c r="N7" i="8"/>
  <c r="O7" i="8"/>
  <c r="K6" i="8"/>
  <c r="L3" i="8"/>
  <c r="M3" i="8"/>
  <c r="N3" i="8"/>
  <c r="O3" i="8"/>
  <c r="K3" i="8"/>
  <c r="H63" i="8"/>
  <c r="O29" i="8" s="1"/>
  <c r="G63" i="8"/>
  <c r="N29" i="8" s="1"/>
  <c r="F63" i="8"/>
  <c r="M29" i="8" s="1"/>
  <c r="E63" i="8"/>
  <c r="L29" i="8" s="1"/>
  <c r="D66" i="8"/>
  <c r="H64" i="8"/>
  <c r="H66" i="8" s="1"/>
  <c r="O5" i="8" s="1"/>
  <c r="G64" i="8"/>
  <c r="G66" i="8" s="1"/>
  <c r="N5" i="8" s="1"/>
  <c r="F64" i="8"/>
  <c r="F66" i="8" s="1"/>
  <c r="M5" i="8" s="1"/>
  <c r="E64" i="8"/>
  <c r="E66" i="8" s="1"/>
  <c r="L5" i="8" s="1"/>
  <c r="Q12" i="5"/>
  <c r="L48" i="5"/>
  <c r="L47" i="5"/>
  <c r="L46" i="5"/>
  <c r="L45" i="5"/>
  <c r="L44" i="5"/>
  <c r="K49" i="5"/>
  <c r="L49" i="5" s="1"/>
  <c r="L13" i="5"/>
  <c r="M13" i="5" s="1"/>
  <c r="L14" i="5"/>
  <c r="M14" i="5" s="1"/>
  <c r="L15" i="5"/>
  <c r="M15" i="5" s="1"/>
  <c r="L16" i="5"/>
  <c r="M16" i="5" s="1"/>
  <c r="L7" i="5"/>
  <c r="M7" i="5" s="1"/>
  <c r="L6" i="5"/>
  <c r="M6" i="5" s="1"/>
  <c r="L5" i="5"/>
  <c r="M5" i="5" s="1"/>
  <c r="L4" i="5"/>
  <c r="M4" i="5" s="1"/>
  <c r="K8" i="5"/>
  <c r="F19" i="5"/>
  <c r="I30" i="6"/>
  <c r="H30" i="6"/>
  <c r="E10" i="6" a="1"/>
  <c r="E10" i="6" s="1"/>
  <c r="I29" i="6"/>
  <c r="I28" i="6"/>
  <c r="I27" i="6"/>
  <c r="I26" i="6"/>
  <c r="H29" i="6"/>
  <c r="H28" i="6"/>
  <c r="H27" i="6"/>
  <c r="H26" i="6"/>
  <c r="D15" i="6" a="1"/>
  <c r="D15" i="6" s="1"/>
  <c r="AC19" i="6"/>
  <c r="AB19" i="6"/>
  <c r="AC18" i="6"/>
  <c r="AB18" i="6"/>
  <c r="AC17" i="6"/>
  <c r="AB17" i="6"/>
  <c r="AC16" i="6"/>
  <c r="AC15" i="6"/>
  <c r="E30" i="6" s="1"/>
  <c r="M30" i="6" s="1"/>
  <c r="AB15" i="6"/>
  <c r="AC14" i="6"/>
  <c r="AB14" i="6"/>
  <c r="AC13" i="6"/>
  <c r="AB13" i="6"/>
  <c r="AC12" i="6"/>
  <c r="AB12" i="6"/>
  <c r="AC10" i="6"/>
  <c r="AA19" i="6"/>
  <c r="Z19" i="6"/>
  <c r="AA18" i="6"/>
  <c r="Z18" i="6"/>
  <c r="AA17" i="6"/>
  <c r="Z17" i="6"/>
  <c r="AA16" i="6"/>
  <c r="Z16" i="6"/>
  <c r="AA15" i="6"/>
  <c r="D30" i="6" s="1"/>
  <c r="L30" i="6" s="1"/>
  <c r="Z15" i="6"/>
  <c r="AA14" i="6"/>
  <c r="Z14" i="6"/>
  <c r="AA13" i="6"/>
  <c r="Z13" i="6"/>
  <c r="AA12" i="6"/>
  <c r="Z12" i="6"/>
  <c r="AA10" i="6"/>
  <c r="X19" i="6"/>
  <c r="W19" i="6"/>
  <c r="X18" i="6"/>
  <c r="W18" i="6"/>
  <c r="X17" i="6"/>
  <c r="W17" i="6"/>
  <c r="X16" i="6"/>
  <c r="W16" i="6"/>
  <c r="X15" i="6"/>
  <c r="W15" i="6"/>
  <c r="X14" i="6"/>
  <c r="W14" i="6"/>
  <c r="X13" i="6"/>
  <c r="W13" i="6"/>
  <c r="X12" i="6"/>
  <c r="W12" i="6"/>
  <c r="X10" i="6"/>
  <c r="W10" i="6"/>
  <c r="V19" i="6"/>
  <c r="U19" i="6"/>
  <c r="V18" i="6"/>
  <c r="U18" i="6"/>
  <c r="V17" i="6"/>
  <c r="U17" i="6"/>
  <c r="V16" i="6"/>
  <c r="U16" i="6"/>
  <c r="V15" i="6"/>
  <c r="U15" i="6"/>
  <c r="V14" i="6"/>
  <c r="U14" i="6"/>
  <c r="V13" i="6"/>
  <c r="U13" i="6"/>
  <c r="V12" i="6"/>
  <c r="U12" i="6"/>
  <c r="V10" i="6"/>
  <c r="U10" i="6"/>
  <c r="S13" i="6"/>
  <c r="T13" i="6"/>
  <c r="S14" i="6"/>
  <c r="T14" i="6"/>
  <c r="S15" i="6"/>
  <c r="T15" i="6"/>
  <c r="S16" i="6"/>
  <c r="T16" i="6"/>
  <c r="S17" i="6"/>
  <c r="T17" i="6"/>
  <c r="S18" i="6"/>
  <c r="T18" i="6"/>
  <c r="S19" i="6"/>
  <c r="T19" i="6"/>
  <c r="T12" i="6"/>
  <c r="S12" i="6"/>
  <c r="S10" i="6"/>
  <c r="T10" i="6"/>
  <c r="G19" i="6" a="1"/>
  <c r="G19" i="6" s="1"/>
  <c r="G18" i="6" a="1"/>
  <c r="G18" i="6" s="1"/>
  <c r="G17" i="6" a="1"/>
  <c r="G17" i="6" s="1"/>
  <c r="G16" i="6" a="1"/>
  <c r="G16" i="6" s="1"/>
  <c r="G15" i="6" a="1"/>
  <c r="G15" i="6" s="1"/>
  <c r="G13" i="6" a="1"/>
  <c r="G13" i="6" s="1"/>
  <c r="G14" i="6" a="1"/>
  <c r="G14" i="6" s="1"/>
  <c r="G12" i="6" a="1"/>
  <c r="G12" i="6" s="1"/>
  <c r="G10" i="6" a="1"/>
  <c r="G10" i="6" s="1"/>
  <c r="AD10" i="6" s="1"/>
  <c r="D10" i="6" a="1"/>
  <c r="D10" i="6" s="1"/>
  <c r="C10" i="6" a="1"/>
  <c r="C10" i="6" s="1"/>
  <c r="B10" i="6" a="1"/>
  <c r="B10" i="6" s="1"/>
  <c r="E13" i="6" a="1"/>
  <c r="E13" i="6" s="1"/>
  <c r="E14" i="6" a="1"/>
  <c r="E14" i="6" s="1"/>
  <c r="E15" i="6" a="1"/>
  <c r="E15" i="6" s="1"/>
  <c r="E16" i="6" a="1"/>
  <c r="E16" i="6" s="1"/>
  <c r="E17" i="6" a="1"/>
  <c r="E17" i="6" s="1"/>
  <c r="E18" i="6" a="1"/>
  <c r="E18" i="6" s="1"/>
  <c r="E19" i="6" a="1"/>
  <c r="E19" i="6" s="1"/>
  <c r="E12" i="6" a="1"/>
  <c r="E12" i="6" s="1"/>
  <c r="D19" i="6" a="1"/>
  <c r="D19" i="6" s="1"/>
  <c r="D18" i="6" a="1"/>
  <c r="D18" i="6" s="1"/>
  <c r="D17" i="6" a="1"/>
  <c r="D17" i="6" s="1"/>
  <c r="D16" i="6" a="1"/>
  <c r="D16" i="6" s="1"/>
  <c r="D14" i="6" a="1"/>
  <c r="D14" i="6" s="1"/>
  <c r="D13" i="6" a="1"/>
  <c r="D13" i="6" s="1"/>
  <c r="D12" i="6" a="1"/>
  <c r="D12" i="6" s="1"/>
  <c r="C13" i="6" a="1"/>
  <c r="C13" i="6" s="1"/>
  <c r="B13" i="6" a="1"/>
  <c r="B13" i="6" s="1"/>
  <c r="B14" i="6" a="1"/>
  <c r="B14" i="6" s="1"/>
  <c r="B15" i="6" a="1"/>
  <c r="B15" i="6" s="1"/>
  <c r="B16" i="6" a="1"/>
  <c r="B16" i="6" s="1"/>
  <c r="B17" i="6" a="1"/>
  <c r="B17" i="6" s="1"/>
  <c r="B18" i="6" a="1"/>
  <c r="B18" i="6" s="1"/>
  <c r="B19" i="6" a="1"/>
  <c r="B19" i="6" s="1"/>
  <c r="B12" i="6" a="1"/>
  <c r="B12" i="6" s="1"/>
  <c r="C14" i="6" a="1"/>
  <c r="C14" i="6" s="1"/>
  <c r="C15" i="6" a="1"/>
  <c r="C15" i="6" s="1"/>
  <c r="C16" i="6" a="1"/>
  <c r="C16" i="6" s="1"/>
  <c r="C17" i="6" a="1"/>
  <c r="C17" i="6" s="1"/>
  <c r="C18" i="6" a="1"/>
  <c r="C18" i="6" s="1"/>
  <c r="C19" i="6" a="1"/>
  <c r="C19" i="6" s="1"/>
  <c r="C12" i="6" a="1"/>
  <c r="C12" i="6" s="1"/>
  <c r="C4" i="6"/>
  <c r="H52" i="4"/>
  <c r="H54" i="4" s="1"/>
  <c r="I52" i="4"/>
  <c r="I54" i="4" s="1"/>
  <c r="J52" i="4"/>
  <c r="J54" i="4" s="1"/>
  <c r="K52" i="4"/>
  <c r="K54" i="4" s="1"/>
  <c r="G53" i="4"/>
  <c r="K23" i="9"/>
  <c r="K26" i="4"/>
  <c r="L23" i="9" s="1"/>
  <c r="J15" i="4"/>
  <c r="K15" i="4"/>
  <c r="K6" i="4"/>
  <c r="H8" i="4"/>
  <c r="I8" i="4"/>
  <c r="J8" i="4"/>
  <c r="K8" i="4"/>
  <c r="G8" i="4"/>
  <c r="G9" i="4"/>
  <c r="F8" i="4"/>
  <c r="E8" i="4"/>
  <c r="D8" i="4"/>
  <c r="H9" i="4"/>
  <c r="J6" i="4"/>
  <c r="K17" i="9" s="1"/>
  <c r="I16" i="4"/>
  <c r="I27" i="4"/>
  <c r="I41" i="4"/>
  <c r="J41" i="4"/>
  <c r="K41" i="4"/>
  <c r="H39" i="4"/>
  <c r="D59" i="4"/>
  <c r="E59" i="4"/>
  <c r="F59" i="4"/>
  <c r="D57" i="4"/>
  <c r="E57" i="4"/>
  <c r="F57" i="4"/>
  <c r="D48" i="4"/>
  <c r="E48" i="4"/>
  <c r="F48" i="4"/>
  <c r="F34" i="4"/>
  <c r="E34" i="4"/>
  <c r="G34" i="4" s="1"/>
  <c r="D20" i="4"/>
  <c r="E20" i="4"/>
  <c r="F20" i="4"/>
  <c r="D18" i="4"/>
  <c r="E18" i="4"/>
  <c r="F18" i="4"/>
  <c r="G25" i="4"/>
  <c r="G27" i="4"/>
  <c r="H27" i="4"/>
  <c r="G41" i="4"/>
  <c r="H41" i="4"/>
  <c r="G55" i="4"/>
  <c r="H16" i="4"/>
  <c r="G16" i="4"/>
  <c r="D55" i="4"/>
  <c r="E55" i="4"/>
  <c r="F55" i="4"/>
  <c r="D41" i="4"/>
  <c r="E41" i="4"/>
  <c r="F41" i="4"/>
  <c r="D27" i="4"/>
  <c r="E27" i="4"/>
  <c r="F27" i="4"/>
  <c r="F16" i="4"/>
  <c r="E16" i="4"/>
  <c r="D16" i="4"/>
  <c r="D32" i="4"/>
  <c r="E32" i="4"/>
  <c r="F32" i="4"/>
  <c r="D46" i="4"/>
  <c r="E46" i="4"/>
  <c r="F46" i="4"/>
  <c r="D30" i="4"/>
  <c r="E30" i="4"/>
  <c r="F30" i="4"/>
  <c r="D44" i="4"/>
  <c r="E44" i="4"/>
  <c r="F44" i="4"/>
  <c r="E39" i="4"/>
  <c r="F39" i="4"/>
  <c r="E22" i="4"/>
  <c r="F22" i="4"/>
  <c r="G22" i="4"/>
  <c r="H22" i="4"/>
  <c r="I22" i="4"/>
  <c r="J22" i="4"/>
  <c r="K22" i="4"/>
  <c r="E25" i="4"/>
  <c r="F25" i="4"/>
  <c r="E36" i="4"/>
  <c r="F36" i="4"/>
  <c r="G36" i="4"/>
  <c r="H36" i="4"/>
  <c r="I36" i="4"/>
  <c r="J36" i="4"/>
  <c r="K36" i="4"/>
  <c r="F53" i="4"/>
  <c r="E53" i="4"/>
  <c r="E50" i="4"/>
  <c r="F50" i="4" s="1"/>
  <c r="G50" i="4" s="1"/>
  <c r="H50" i="4" s="1"/>
  <c r="I50" i="4" s="1"/>
  <c r="J50" i="4" s="1"/>
  <c r="K50" i="4" s="1"/>
  <c r="F14" i="4"/>
  <c r="E11" i="4"/>
  <c r="F11" i="4" s="1"/>
  <c r="G11" i="4" s="1"/>
  <c r="H11" i="4" s="1"/>
  <c r="I11" i="4" s="1"/>
  <c r="J11" i="4" s="1"/>
  <c r="K11" i="4" s="1"/>
  <c r="F7" i="4"/>
  <c r="E7" i="4"/>
  <c r="E4" i="4"/>
  <c r="F4" i="4" s="1"/>
  <c r="G4" i="4" s="1"/>
  <c r="H4" i="4" s="1"/>
  <c r="I4" i="4" s="1"/>
  <c r="J4" i="4" s="1"/>
  <c r="K4" i="4" s="1"/>
  <c r="B2" i="4" a="1"/>
  <c r="B2" i="4" s="1"/>
  <c r="K13" i="1"/>
  <c r="J13" i="1"/>
  <c r="G13" i="1" s="1"/>
  <c r="K7" i="4" l="1"/>
  <c r="K20" i="9"/>
  <c r="K41" i="9"/>
  <c r="K47" i="9"/>
  <c r="K69" i="9"/>
  <c r="K98" i="9" s="1"/>
  <c r="K58" i="9"/>
  <c r="J17" i="9"/>
  <c r="I7" i="4"/>
  <c r="J53" i="9" s="1"/>
  <c r="J52" i="9" s="1"/>
  <c r="L53" i="9"/>
  <c r="L17" i="9"/>
  <c r="J26" i="9"/>
  <c r="J26" i="5"/>
  <c r="J25" i="5"/>
  <c r="J24" i="5"/>
  <c r="J23" i="5"/>
  <c r="K33" i="8"/>
  <c r="K32" i="8"/>
  <c r="K31" i="8"/>
  <c r="K30" i="8"/>
  <c r="K29" i="8"/>
  <c r="D30" i="8"/>
  <c r="K12" i="8"/>
  <c r="K11" i="8"/>
  <c r="L4" i="8"/>
  <c r="L2" i="8"/>
  <c r="M4" i="8"/>
  <c r="M2" i="8"/>
  <c r="N4" i="8"/>
  <c r="N2" i="8"/>
  <c r="O4" i="8"/>
  <c r="O2" i="8"/>
  <c r="K5" i="8"/>
  <c r="K4" i="8"/>
  <c r="K2" i="8"/>
  <c r="K12" i="5"/>
  <c r="L12" i="5" s="1"/>
  <c r="M12" i="5" s="1"/>
  <c r="L8" i="5"/>
  <c r="M8" i="5" s="1"/>
  <c r="S30" i="6"/>
  <c r="J30" i="6"/>
  <c r="S29" i="6"/>
  <c r="S28" i="6"/>
  <c r="S27" i="6"/>
  <c r="S26" i="6"/>
  <c r="D29" i="6"/>
  <c r="L29" i="6" s="1"/>
  <c r="L26" i="6"/>
  <c r="E29" i="6"/>
  <c r="M29" i="6" s="1"/>
  <c r="M26" i="6"/>
  <c r="J29" i="6"/>
  <c r="J28" i="6"/>
  <c r="J27" i="6"/>
  <c r="J26" i="6"/>
  <c r="S22" i="6"/>
  <c r="S21" i="6"/>
  <c r="T22" i="6"/>
  <c r="T21" i="6"/>
  <c r="U22" i="6"/>
  <c r="U21" i="6"/>
  <c r="V22" i="6"/>
  <c r="V21" i="6"/>
  <c r="W22" i="6"/>
  <c r="W21" i="6"/>
  <c r="X22" i="6"/>
  <c r="X21" i="6"/>
  <c r="Z22" i="6"/>
  <c r="Z21" i="6"/>
  <c r="AA22" i="6"/>
  <c r="D28" i="6" s="1"/>
  <c r="L28" i="6" s="1"/>
  <c r="AA21" i="6"/>
  <c r="L27" i="6" s="1"/>
  <c r="AB22" i="6"/>
  <c r="AB21" i="6"/>
  <c r="AC22" i="6"/>
  <c r="E28" i="6" s="1"/>
  <c r="M28" i="6" s="1"/>
  <c r="AC21" i="6"/>
  <c r="E27" i="6" s="1"/>
  <c r="M27" i="6" s="1"/>
  <c r="AE10" i="6"/>
  <c r="AE12" i="6"/>
  <c r="AD12" i="6"/>
  <c r="AE14" i="6"/>
  <c r="AD14" i="6"/>
  <c r="AE13" i="6"/>
  <c r="AD13" i="6"/>
  <c r="AE15" i="6"/>
  <c r="AD15" i="6"/>
  <c r="AE16" i="6"/>
  <c r="AD16" i="6"/>
  <c r="AE17" i="6"/>
  <c r="AD17" i="6"/>
  <c r="AE18" i="6"/>
  <c r="AD18" i="6"/>
  <c r="AE19" i="6"/>
  <c r="AD19" i="6"/>
  <c r="K9" i="4"/>
  <c r="J7" i="4"/>
  <c r="K53" i="9" s="1"/>
  <c r="K52" i="9" s="1"/>
  <c r="J9" i="4"/>
  <c r="I9" i="4"/>
  <c r="G44" i="4"/>
  <c r="G30" i="4"/>
  <c r="G46" i="4"/>
  <c r="G32" i="4"/>
  <c r="G57" i="4"/>
  <c r="G59" i="4"/>
  <c r="G18" i="4"/>
  <c r="G20" i="4"/>
  <c r="G33" i="4"/>
  <c r="G28" i="4" s="1"/>
  <c r="H34" i="4"/>
  <c r="G48" i="4"/>
  <c r="F26" i="6" l="1"/>
  <c r="X26" i="6" s="1"/>
  <c r="AC26" i="6" s="1"/>
  <c r="W26" i="6"/>
  <c r="AB26" i="6" s="1"/>
  <c r="L20" i="9"/>
  <c r="L47" i="9"/>
  <c r="L41" i="9"/>
  <c r="L58" i="9"/>
  <c r="L69" i="9"/>
  <c r="L98" i="9" s="1"/>
  <c r="L18" i="9"/>
  <c r="L81" i="9" s="1"/>
  <c r="J18" i="9"/>
  <c r="J81" i="9" s="1"/>
  <c r="J20" i="9"/>
  <c r="J47" i="9"/>
  <c r="J41" i="9"/>
  <c r="J69" i="9"/>
  <c r="J58" i="9"/>
  <c r="K18" i="9"/>
  <c r="K81" i="9" s="1"/>
  <c r="K55" i="9"/>
  <c r="K44" i="9"/>
  <c r="L52" i="9"/>
  <c r="L26" i="9" s="1"/>
  <c r="K26" i="9"/>
  <c r="V27" i="6"/>
  <c r="AA27" i="6" s="1"/>
  <c r="W27" i="6"/>
  <c r="AB27" i="6" s="1"/>
  <c r="V28" i="6"/>
  <c r="AA28" i="6" s="1"/>
  <c r="W28" i="6"/>
  <c r="AB28" i="6" s="1"/>
  <c r="V29" i="6"/>
  <c r="AA29" i="6" s="1"/>
  <c r="W29" i="6"/>
  <c r="AB29" i="6" s="1"/>
  <c r="V30" i="6"/>
  <c r="AA30" i="6" s="1"/>
  <c r="W30" i="6"/>
  <c r="AB30" i="6" s="1"/>
  <c r="V26" i="6"/>
  <c r="AA26" i="6" s="1"/>
  <c r="K13" i="8"/>
  <c r="K7" i="8"/>
  <c r="F30" i="6"/>
  <c r="X30" i="6" s="1"/>
  <c r="AC30" i="6" s="1"/>
  <c r="F29" i="6"/>
  <c r="X29" i="6" s="1"/>
  <c r="AC29" i="6" s="1"/>
  <c r="AD22" i="6"/>
  <c r="AD21" i="6"/>
  <c r="AE22" i="6"/>
  <c r="F28" i="6" s="1"/>
  <c r="X28" i="6" s="1"/>
  <c r="AC28" i="6" s="1"/>
  <c r="AE21" i="6"/>
  <c r="F27" i="6" s="1"/>
  <c r="X27" i="6" s="1"/>
  <c r="AC27" i="6" s="1"/>
  <c r="G58" i="4"/>
  <c r="H59" i="4"/>
  <c r="G56" i="4"/>
  <c r="H57" i="4"/>
  <c r="G31" i="4"/>
  <c r="H46" i="4"/>
  <c r="G29" i="4"/>
  <c r="H30" i="4"/>
  <c r="H44" i="4"/>
  <c r="G47" i="4"/>
  <c r="H48" i="4"/>
  <c r="H33" i="4"/>
  <c r="H28" i="4" s="1"/>
  <c r="I34" i="4"/>
  <c r="H20" i="4"/>
  <c r="H18" i="4"/>
  <c r="H32" i="4"/>
  <c r="G19" i="4"/>
  <c r="K79" i="9" l="1"/>
  <c r="K80" i="9"/>
  <c r="K82" i="9"/>
  <c r="J98" i="9"/>
  <c r="J50" i="9"/>
  <c r="J55" i="9"/>
  <c r="J44" i="9"/>
  <c r="J80" i="9"/>
  <c r="J79" i="9"/>
  <c r="J78" i="9" s="1"/>
  <c r="J82" i="9"/>
  <c r="L79" i="9"/>
  <c r="L82" i="9"/>
  <c r="L80" i="9"/>
  <c r="L55" i="9"/>
  <c r="L44" i="9"/>
  <c r="L72" i="9" s="1"/>
  <c r="L101" i="9" s="1"/>
  <c r="I44" i="4"/>
  <c r="I46" i="4"/>
  <c r="H56" i="4"/>
  <c r="I57" i="4"/>
  <c r="H58" i="4"/>
  <c r="I59" i="4"/>
  <c r="H29" i="4"/>
  <c r="I30" i="4"/>
  <c r="H31" i="4"/>
  <c r="I32" i="4"/>
  <c r="I18" i="4"/>
  <c r="I20" i="4"/>
  <c r="I33" i="4"/>
  <c r="J34" i="4"/>
  <c r="H47" i="4"/>
  <c r="I48" i="4"/>
  <c r="H17" i="4"/>
  <c r="H19" i="4"/>
  <c r="K78" i="9" l="1"/>
  <c r="J84" i="9"/>
  <c r="K72" i="9"/>
  <c r="K101" i="9" s="1"/>
  <c r="J72" i="9"/>
  <c r="J101" i="9" s="1"/>
  <c r="J66" i="9"/>
  <c r="K50" i="9"/>
  <c r="I58" i="4"/>
  <c r="J59" i="4"/>
  <c r="I56" i="4"/>
  <c r="J57" i="4"/>
  <c r="J46" i="4"/>
  <c r="K46" i="4" s="1"/>
  <c r="J44" i="4"/>
  <c r="K44" i="4" s="1"/>
  <c r="I47" i="4"/>
  <c r="J48" i="4"/>
  <c r="J33" i="4"/>
  <c r="K34" i="4"/>
  <c r="K33" i="4" s="1"/>
  <c r="J20" i="4"/>
  <c r="K20" i="4" s="1"/>
  <c r="J18" i="4"/>
  <c r="K18" i="4" s="1"/>
  <c r="J32" i="4"/>
  <c r="K32" i="4" s="1"/>
  <c r="I28" i="4"/>
  <c r="J30" i="4"/>
  <c r="K30" i="4" s="1"/>
  <c r="I19" i="4"/>
  <c r="I17" i="4"/>
  <c r="G20" i="1"/>
  <c r="G9" i="1" s="1"/>
  <c r="K66" i="9" l="1"/>
  <c r="L50" i="9"/>
  <c r="L66" i="9" s="1"/>
  <c r="J95" i="9"/>
  <c r="J61" i="9"/>
  <c r="J29" i="9" s="1"/>
  <c r="J32" i="9" s="1"/>
  <c r="J34" i="9" s="1"/>
  <c r="J90" i="9" s="1"/>
  <c r="J93" i="9" s="1"/>
  <c r="J104" i="9" s="1"/>
  <c r="J105" i="9" s="1"/>
  <c r="L78" i="9"/>
  <c r="L84" i="9" s="1"/>
  <c r="K84" i="9"/>
  <c r="J56" i="4"/>
  <c r="K57" i="4"/>
  <c r="K56" i="4" s="1"/>
  <c r="J58" i="4"/>
  <c r="K59" i="4"/>
  <c r="K58" i="4" s="1"/>
  <c r="I31" i="4"/>
  <c r="I29" i="4"/>
  <c r="J28" i="4"/>
  <c r="J47" i="4"/>
  <c r="K48" i="4"/>
  <c r="K47" i="4" s="1"/>
  <c r="J17" i="4"/>
  <c r="K17" i="4"/>
  <c r="J19" i="4"/>
  <c r="K19" i="4"/>
  <c r="G16" i="1"/>
  <c r="G22" i="1" s="1"/>
  <c r="P22" i="4" s="1"/>
  <c r="L61" i="9" l="1"/>
  <c r="L29" i="9" s="1"/>
  <c r="L32" i="9" s="1"/>
  <c r="L34" i="9" s="1"/>
  <c r="L90" i="9" s="1"/>
  <c r="L93" i="9" s="1"/>
  <c r="L95" i="9"/>
  <c r="K61" i="9"/>
  <c r="K29" i="9" s="1"/>
  <c r="K32" i="9" s="1"/>
  <c r="K34" i="9" s="1"/>
  <c r="K90" i="9" s="1"/>
  <c r="K93" i="9" s="1"/>
  <c r="K95" i="9"/>
  <c r="J31" i="4"/>
  <c r="J29" i="4"/>
  <c r="K28" i="4"/>
  <c r="K104" i="9" l="1"/>
  <c r="K105" i="9" s="1"/>
  <c r="L104" i="9"/>
  <c r="K31" i="4"/>
  <c r="K29" i="4"/>
  <c r="L110" i="9" l="1"/>
  <c r="L111" i="9" s="1"/>
  <c r="L105" i="9"/>
  <c r="G42" i="4"/>
  <c r="L112" i="9" l="1"/>
  <c r="L117" i="9" s="1"/>
  <c r="L120" i="9" s="1"/>
  <c r="L123" i="9" s="1"/>
  <c r="G43" i="4"/>
  <c r="G45" i="4"/>
  <c r="H42" i="4" s="1"/>
  <c r="H43" i="4" s="1"/>
  <c r="H45" i="4"/>
  <c r="I42" i="4" s="1"/>
  <c r="I43" i="4" s="1"/>
  <c r="I45" i="4"/>
  <c r="J42" i="4" s="1"/>
  <c r="J43" i="4" s="1"/>
  <c r="N120" i="9" l="1"/>
  <c r="J45" i="4"/>
  <c r="K42" i="4" s="1"/>
  <c r="K45" i="4" l="1"/>
  <c r="K4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Raul Vasconcelos da Silva</author>
  </authors>
  <commentList>
    <comment ref="K8" authorId="0" shapeId="0" xr:uid="{E6F0C057-BE3B-4951-BC89-DD0C55A6908C}">
      <text>
        <r>
          <rPr>
            <sz val="11"/>
            <color theme="1"/>
            <rFont val="Calibri"/>
            <family val="2"/>
            <scheme val="minor"/>
          </rPr>
          <t>Raul Vasconcelos da Silva:
GDP weighted average for countries in which Samsung has major operations, such as the USA, Canada, Mexico, Brazil, Argentina, Colombia, Peru, Chile, Panama, Costa Rica</t>
        </r>
      </text>
    </comment>
    <comment ref="K9" authorId="0" shapeId="0" xr:uid="{7B3A76A4-046C-4A23-8136-A4A059F28865}">
      <text>
        <r>
          <rPr>
            <sz val="11"/>
            <color theme="1"/>
            <rFont val="Calibri"/>
            <family val="2"/>
            <scheme val="minor"/>
          </rPr>
          <t>Raul Vasconcelos da Silva:
GDP weighted average for all European countries, including Russia and Ukraine</t>
        </r>
      </text>
    </comment>
    <comment ref="K11" authorId="0" shapeId="0" xr:uid="{616F0344-EDAF-40BA-BC21-5F58A4D07ACE}">
      <text>
        <r>
          <rPr>
            <sz val="11"/>
            <color theme="1"/>
            <rFont val="Calibri"/>
            <family val="2"/>
            <scheme val="minor"/>
          </rPr>
          <t>Raul Vasconcelos da Silva:
Weighted average for major countries is Asia and Africa, such as Japan, Hong Kong, Singapore, India, Taiwan, Philipines, Israel, South Africa, Egypt, Nigeria and others</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0">
    <bk>
      <extLst>
        <ext uri="{3e2802c4-a4d2-4d8b-9148-e3be6c30e623}">
          <xlrd:rvb i="2"/>
        </ext>
      </extLst>
    </bk>
    <bk>
      <extLst>
        <ext uri="{3e2802c4-a4d2-4d8b-9148-e3be6c30e623}">
          <xlrd:rvb i="5"/>
        </ext>
      </extLst>
    </bk>
    <bk>
      <extLst>
        <ext uri="{3e2802c4-a4d2-4d8b-9148-e3be6c30e623}">
          <xlrd:rvb i="8"/>
        </ext>
      </extLst>
    </bk>
    <bk>
      <extLst>
        <ext uri="{3e2802c4-a4d2-4d8b-9148-e3be6c30e623}">
          <xlrd:rvb i="11"/>
        </ext>
      </extLst>
    </bk>
    <bk>
      <extLst>
        <ext uri="{3e2802c4-a4d2-4d8b-9148-e3be6c30e623}">
          <xlrd:rvb i="14"/>
        </ext>
      </extLst>
    </bk>
    <bk>
      <extLst>
        <ext uri="{3e2802c4-a4d2-4d8b-9148-e3be6c30e623}">
          <xlrd:rvb i="21"/>
        </ext>
      </extLst>
    </bk>
    <bk>
      <extLst>
        <ext uri="{3e2802c4-a4d2-4d8b-9148-e3be6c30e623}">
          <xlrd:rvb i="24"/>
        </ext>
      </extLst>
    </bk>
    <bk>
      <extLst>
        <ext uri="{3e2802c4-a4d2-4d8b-9148-e3be6c30e623}">
          <xlrd:rvb i="27"/>
        </ext>
      </extLst>
    </bk>
    <bk>
      <extLst>
        <ext uri="{3e2802c4-a4d2-4d8b-9148-e3be6c30e623}">
          <xlrd:rvb i="30"/>
        </ext>
      </extLst>
    </bk>
    <bk>
      <extLst>
        <ext uri="{3e2802c4-a4d2-4d8b-9148-e3be6c30e623}">
          <xlrd:rvb i="31"/>
        </ext>
      </extLst>
    </bk>
  </futureMetadata>
  <cellMetadata count="1">
    <bk>
      <rc t="1" v="0"/>
    </bk>
  </cellMetadata>
  <valueMetadata count="10">
    <bk>
      <rc t="2" v="0"/>
    </bk>
    <bk>
      <rc t="2" v="1"/>
    </bk>
    <bk>
      <rc t="2" v="2"/>
    </bk>
    <bk>
      <rc t="2" v="3"/>
    </bk>
    <bk>
      <rc t="2" v="4"/>
    </bk>
    <bk>
      <rc t="2" v="5"/>
    </bk>
    <bk>
      <rc t="2" v="6"/>
    </bk>
    <bk>
      <rc t="2" v="7"/>
    </bk>
    <bk>
      <rc t="2" v="8"/>
    </bk>
    <bk>
      <rc t="2" v="9"/>
    </bk>
  </valueMetadata>
</metadata>
</file>

<file path=xl/sharedStrings.xml><?xml version="1.0" encoding="utf-8"?>
<sst xmlns="http://schemas.openxmlformats.org/spreadsheetml/2006/main" count="511" uniqueCount="356">
  <si>
    <t>Assumptions</t>
  </si>
  <si>
    <t>Switches</t>
  </si>
  <si>
    <t>Bear Case</t>
  </si>
  <si>
    <t>Base Case</t>
  </si>
  <si>
    <t>Bull Case</t>
  </si>
  <si>
    <t>Revenue</t>
  </si>
  <si>
    <t>WACC</t>
  </si>
  <si>
    <t>Most recent fiscal year</t>
  </si>
  <si>
    <t>31/12/2023</t>
  </si>
  <si>
    <t>Share Price</t>
  </si>
  <si>
    <t>EBIT</t>
  </si>
  <si>
    <t>TGR</t>
  </si>
  <si>
    <t>End of fiscal year</t>
  </si>
  <si>
    <t>31/12/2024</t>
  </si>
  <si>
    <t>Share Price Date</t>
  </si>
  <si>
    <t xml:space="preserve">most recent quarter end date </t>
  </si>
  <si>
    <t>31/07/2024</t>
  </si>
  <si>
    <t>valuation date</t>
  </si>
  <si>
    <t xml:space="preserve">portion of year 1 cash flow in forecast </t>
  </si>
  <si>
    <t>In billions of Korean won</t>
  </si>
  <si>
    <t>x</t>
  </si>
  <si>
    <t>Income Statement</t>
  </si>
  <si>
    <t>% of growth</t>
  </si>
  <si>
    <t xml:space="preserve">Effective tax rate </t>
  </si>
  <si>
    <t>Cost of Revenues</t>
  </si>
  <si>
    <t>% of revenue</t>
  </si>
  <si>
    <t>% of revenues</t>
  </si>
  <si>
    <t>Interest income</t>
  </si>
  <si>
    <t>% Investments</t>
  </si>
  <si>
    <t>Interest expense</t>
  </si>
  <si>
    <t>% of debt</t>
  </si>
  <si>
    <t>EBT</t>
  </si>
  <si>
    <t>Tax expense</t>
  </si>
  <si>
    <t>% of EBT</t>
  </si>
  <si>
    <t>Balance Sheet</t>
  </si>
  <si>
    <t>Total Cash and Short-Term Investments</t>
  </si>
  <si>
    <t>Receivables</t>
  </si>
  <si>
    <t>DSO</t>
  </si>
  <si>
    <t>Inventory</t>
  </si>
  <si>
    <t>DIH</t>
  </si>
  <si>
    <t>Prepaid expenses and Other Current Assets</t>
  </si>
  <si>
    <t>PP&amp;E + Intangibles</t>
  </si>
  <si>
    <t>Long-Term Investments</t>
  </si>
  <si>
    <t>Growing with Revenue</t>
  </si>
  <si>
    <t>Accounts Payable</t>
  </si>
  <si>
    <t>DPO</t>
  </si>
  <si>
    <t>Accrued Expenses and Other Current Liabilities</t>
  </si>
  <si>
    <t>Total Debt</t>
  </si>
  <si>
    <t>x EBITDA</t>
  </si>
  <si>
    <t>Cash Flow</t>
  </si>
  <si>
    <t>Depreciation &amp; Amortization</t>
  </si>
  <si>
    <t>% PP&amp;E + Intangibles</t>
  </si>
  <si>
    <t>Net CapEx</t>
  </si>
  <si>
    <t>Changes in NWC</t>
  </si>
  <si>
    <t xml:space="preserve">Net working capital </t>
  </si>
  <si>
    <t>% of change in revenues</t>
  </si>
  <si>
    <t>DCF</t>
  </si>
  <si>
    <t>Revenues</t>
  </si>
  <si>
    <t>Taxes</t>
  </si>
  <si>
    <t>Tax rate</t>
  </si>
  <si>
    <t>NOPAT</t>
  </si>
  <si>
    <t>% of PP&amp;E</t>
  </si>
  <si>
    <t>CapEx</t>
  </si>
  <si>
    <t>% chage in revenue</t>
  </si>
  <si>
    <t>FCF</t>
  </si>
  <si>
    <t>Present Value of FCF</t>
  </si>
  <si>
    <t>Sensitivity to the Period</t>
  </si>
  <si>
    <t>Period</t>
  </si>
  <si>
    <t>Terminal Value</t>
  </si>
  <si>
    <t>Preset Value of Terminal Value</t>
  </si>
  <si>
    <t>Enterprise Value</t>
  </si>
  <si>
    <t>(+) Cash</t>
  </si>
  <si>
    <t>(-) Minority Interest</t>
  </si>
  <si>
    <t>(-) Preferred Stock</t>
  </si>
  <si>
    <t>(-) Debt</t>
  </si>
  <si>
    <t>Equity Value</t>
  </si>
  <si>
    <t>Shares outstanding</t>
  </si>
  <si>
    <t>Implicit Stock Value</t>
  </si>
  <si>
    <t>Stock value</t>
  </si>
  <si>
    <t>Upside (downside)</t>
  </si>
  <si>
    <t>Trading Comparables</t>
  </si>
  <si>
    <t>Date</t>
  </si>
  <si>
    <t>Currency</t>
  </si>
  <si>
    <t>USD</t>
  </si>
  <si>
    <t>Trading Multiples</t>
  </si>
  <si>
    <t>Current</t>
  </si>
  <si>
    <t>Share</t>
  </si>
  <si>
    <t>Enterprise</t>
  </si>
  <si>
    <t>Market</t>
  </si>
  <si>
    <t>EBITDA</t>
  </si>
  <si>
    <t>Net Income</t>
  </si>
  <si>
    <t>Revenue Growth</t>
  </si>
  <si>
    <t>EBITDA Margin</t>
  </si>
  <si>
    <t>Profit Margin</t>
  </si>
  <si>
    <t>EV / Revenue</t>
  </si>
  <si>
    <t>EV / EBITDA</t>
  </si>
  <si>
    <t>P / E</t>
  </si>
  <si>
    <t>Ticker</t>
  </si>
  <si>
    <t>Company Name</t>
  </si>
  <si>
    <t>Price</t>
  </si>
  <si>
    <t>Count</t>
  </si>
  <si>
    <t>Value</t>
  </si>
  <si>
    <t>Cap</t>
  </si>
  <si>
    <t>21-22</t>
  </si>
  <si>
    <t>22-23</t>
  </si>
  <si>
    <t>'22</t>
  </si>
  <si>
    <t>'23</t>
  </si>
  <si>
    <t>Mean</t>
  </si>
  <si>
    <t>Median</t>
  </si>
  <si>
    <t>Trading Multiple</t>
  </si>
  <si>
    <t>2023 Financial Metric</t>
  </si>
  <si>
    <t>Implied Share Price</t>
  </si>
  <si>
    <t>Calculating Implied Share Price</t>
  </si>
  <si>
    <t>P/E</t>
  </si>
  <si>
    <t>EPS</t>
  </si>
  <si>
    <t>Cash</t>
  </si>
  <si>
    <t>Debt</t>
  </si>
  <si>
    <t>Minority Interest</t>
  </si>
  <si>
    <t>Preferred Stock</t>
  </si>
  <si>
    <t>Shares</t>
  </si>
  <si>
    <t>Minimum</t>
  </si>
  <si>
    <t>--</t>
  </si>
  <si>
    <t>Maximum</t>
  </si>
  <si>
    <t>Korean Average</t>
  </si>
  <si>
    <t xml:space="preserve"> </t>
  </si>
  <si>
    <t>% growth</t>
  </si>
  <si>
    <t>Operating Profit</t>
  </si>
  <si>
    <t>% revenue</t>
  </si>
  <si>
    <t>DX (Final Products, Mobile, Tablets)</t>
  </si>
  <si>
    <t xml:space="preserve">                                                                                                                                         </t>
  </si>
  <si>
    <t>Depreciation</t>
  </si>
  <si>
    <t>Amortization</t>
  </si>
  <si>
    <t xml:space="preserve">EPS </t>
  </si>
  <si>
    <t>DS (Semiconductors, Memory, DRAM, NAND)</t>
  </si>
  <si>
    <t>Assets</t>
  </si>
  <si>
    <t>% of assets</t>
  </si>
  <si>
    <t>SDC (Displays)</t>
  </si>
  <si>
    <t>Harman (Audio/Automotive)</t>
  </si>
  <si>
    <t>Samsung reports 'major' progress in supply deal for AI chips | AP News</t>
  </si>
  <si>
    <t>https://www.gminsights.com/industry-analysis/automotive-infotainment-market?</t>
  </si>
  <si>
    <t>WACC = % of Capital x Cost of Capital + % de Debt x Cost of Debt x (1 - Tax Rate)</t>
  </si>
  <si>
    <t>Cost of Capital = Risk-Free Rate + Beta x Risk Premium</t>
  </si>
  <si>
    <t>Region</t>
  </si>
  <si>
    <t>Weight</t>
  </si>
  <si>
    <t>ERP</t>
  </si>
  <si>
    <t>Market Cap</t>
  </si>
  <si>
    <t>Americas</t>
  </si>
  <si>
    <t>% of Capital</t>
  </si>
  <si>
    <t>Europe</t>
  </si>
  <si>
    <t>Cost of Capital</t>
  </si>
  <si>
    <t>Korea</t>
  </si>
  <si>
    <t>Risk-Free Rate</t>
  </si>
  <si>
    <t>Asia/Africa</t>
  </si>
  <si>
    <t>Beta</t>
  </si>
  <si>
    <t>China</t>
  </si>
  <si>
    <t>Equity Risk Premium</t>
  </si>
  <si>
    <t>Others</t>
  </si>
  <si>
    <t>% of Debt</t>
  </si>
  <si>
    <t>Cost of debt</t>
  </si>
  <si>
    <t>Tax Rate</t>
  </si>
  <si>
    <t>Total</t>
  </si>
  <si>
    <t>Samsung Electronics</t>
  </si>
  <si>
    <t> </t>
  </si>
  <si>
    <t>Country</t>
  </si>
  <si>
    <t>South Korea</t>
  </si>
  <si>
    <t>Smartphones and other</t>
  </si>
  <si>
    <t>Sector</t>
  </si>
  <si>
    <t>IT-Hardware</t>
  </si>
  <si>
    <t>Memory</t>
  </si>
  <si>
    <t>Current Price</t>
  </si>
  <si>
    <t>Display panels</t>
  </si>
  <si>
    <t>Target Price</t>
  </si>
  <si>
    <t>TV, monitor and other</t>
  </si>
  <si>
    <t>Upside</t>
  </si>
  <si>
    <t>Other</t>
  </si>
  <si>
    <t>005930</t>
  </si>
  <si>
    <t>Stock Exchgange</t>
  </si>
  <si>
    <t>KRX</t>
  </si>
  <si>
    <t>Shares Outstanding (mm)</t>
  </si>
  <si>
    <t>Market Capitalization (mm)</t>
  </si>
  <si>
    <t>TV, monitor</t>
  </si>
  <si>
    <t>EPS (2023)</t>
  </si>
  <si>
    <t>52-Week Range</t>
  </si>
  <si>
    <t>49,900-88,800</t>
  </si>
  <si>
    <t>Smartphone</t>
  </si>
  <si>
    <t>Multiples</t>
  </si>
  <si>
    <t>% Float</t>
  </si>
  <si>
    <t>ß</t>
  </si>
  <si>
    <t>Score (S&amp;P)</t>
  </si>
  <si>
    <t>AA-</t>
  </si>
  <si>
    <t>Price-to-Book</t>
  </si>
  <si>
    <t>1.0x</t>
  </si>
  <si>
    <t>Price-to-Sales (LTM)</t>
  </si>
  <si>
    <t>1.3x</t>
  </si>
  <si>
    <t>Harman</t>
  </si>
  <si>
    <t>Enterprise Value-to-EBITDA (LTM)</t>
  </si>
  <si>
    <t>4.5x</t>
  </si>
  <si>
    <t>SDC</t>
  </si>
  <si>
    <t>% Held by Insiders</t>
  </si>
  <si>
    <t>DS</t>
  </si>
  <si>
    <t>% Held by Institutions</t>
  </si>
  <si>
    <t>DX</t>
  </si>
  <si>
    <t>5Y Avg Div. Yield</t>
  </si>
  <si>
    <t>Holders</t>
  </si>
  <si>
    <t>Samsung Life Insurance Co., Ltd.</t>
  </si>
  <si>
    <t>22 036 M ₩</t>
  </si>
  <si>
    <t>Bargaining Power of Buyers</t>
  </si>
  <si>
    <t>National Pension Service of Korea</t>
  </si>
  <si>
    <t>18 834 M ₩</t>
  </si>
  <si>
    <t>Bargaining Power of Suppliers</t>
  </si>
  <si>
    <t>Samsung C&amp;T Corp.</t>
  </si>
  <si>
    <t>12 819 M ₩</t>
  </si>
  <si>
    <t>Threat of New Entrants</t>
  </si>
  <si>
    <t>Ra Hee Hong</t>
  </si>
  <si>
    <t>4 203 M ₩</t>
  </si>
  <si>
    <t>Threat of Substitutes</t>
  </si>
  <si>
    <t>Jae-Yong Lee</t>
  </si>
  <si>
    <t>4 179 M ₩</t>
  </si>
  <si>
    <t>Rivalry Among Existing Competition</t>
  </si>
  <si>
    <t>Samsung Fire &amp; Marine Insurance Co., Ltd.</t>
  </si>
  <si>
    <t>3 809 M ₩</t>
  </si>
  <si>
    <t>Bu-Jin Lee</t>
  </si>
  <si>
    <t>2 048 M ₩</t>
  </si>
  <si>
    <t>Seo-Hyun Lee</t>
  </si>
  <si>
    <t>2 029 M ₩</t>
  </si>
  <si>
    <t>MFS International (UK) Ltd.</t>
  </si>
  <si>
    <t>617 M ₩</t>
  </si>
  <si>
    <t>Fidelity Management &amp; Research HK Ltd.</t>
  </si>
  <si>
    <t>550 M ₩</t>
  </si>
  <si>
    <t>Stock Performance 20Y</t>
  </si>
  <si>
    <t>America</t>
  </si>
  <si>
    <t>Asia and Africa</t>
  </si>
  <si>
    <t>tvS, monitors, refrigerators, washing machines, air conditioners, smartphones, telecommunications network systems, computers, etc</t>
  </si>
  <si>
    <t>DRAM, NAND, flash, mobile APs, etc</t>
  </si>
  <si>
    <t>OLED panels for smartphones, etc</t>
  </si>
  <si>
    <t>Digital cockpits, car audio, portable speakers, etc</t>
  </si>
  <si>
    <t>Major Releases</t>
  </si>
  <si>
    <t>January 2024:</t>
  </si>
  <si>
    <t>Galaxy Ring</t>
  </si>
  <si>
    <r>
      <t>Galaxy S24 Series:</t>
    </r>
    <r>
      <rPr>
        <sz val="11"/>
        <color theme="1"/>
        <rFont val="Calibri"/>
        <family val="2"/>
        <scheme val="minor"/>
      </rPr>
      <t xml:space="preserve"> Unveiled on January 17, the Galaxy S24 series includes the S24, S24+, and S24 Ultra models. These smartphones feature AI-driven cameras, powerful processors, and high-resolution displays, marking a significant advancement in Samsung's flagship lineup.</t>
    </r>
  </si>
  <si>
    <t>Samsung Mobile Press</t>
  </si>
  <si>
    <r>
      <t>2024 TV and Audio Lineup:</t>
    </r>
    <r>
      <rPr>
        <sz val="11"/>
        <color theme="1"/>
        <rFont val="Calibri"/>
        <family val="2"/>
        <scheme val="minor"/>
      </rPr>
      <t xml:space="preserve"> Announced ahead of CES 2024, Samsung introduced its latest Neo QLED 8K, Neo QLED 4K, OLED, Lifestyle, and MICRO LED displays. These offerings combine enhanced picture quality with premium features, focusing on improved connectivity and personalized experiences.</t>
    </r>
  </si>
  <si>
    <t>Samsung Newsroom</t>
  </si>
  <si>
    <t>July 2024:</t>
  </si>
  <si>
    <r>
      <t>Galaxy Z Flip 6:</t>
    </r>
    <r>
      <rPr>
        <sz val="11"/>
        <color theme="1"/>
        <rFont val="Calibri"/>
        <family val="2"/>
        <scheme val="minor"/>
      </rPr>
      <t xml:space="preserve"> Announced on July 10 and released on July 24, the Galaxy Z Flip 6 is Samsung's latest foldable smartphone. It offers enhanced durability, improved camera capabilities, and a more refined folding mechanism.</t>
    </r>
  </si>
  <si>
    <t>September 2024:</t>
  </si>
  <si>
    <r>
      <t>Galaxy S24 FE:</t>
    </r>
    <r>
      <rPr>
        <sz val="11"/>
        <color theme="1"/>
        <rFont val="Calibri"/>
        <family val="2"/>
        <scheme val="minor"/>
      </rPr>
      <t xml:space="preserve"> Announced on September 26, the Galaxy S24 FE brings flagship features to a more affordable price point, including AI capabilities, a 6.7-inch OLED display, and a versatile camera system.</t>
    </r>
  </si>
  <si>
    <t>The Verge</t>
  </si>
  <si>
    <t>October 2024:</t>
  </si>
  <si>
    <r>
      <t>Galaxy Watch FE (LTE Version):</t>
    </r>
    <r>
      <rPr>
        <sz val="11"/>
        <color theme="1"/>
        <rFont val="Calibri"/>
        <family val="2"/>
        <scheme val="minor"/>
      </rPr>
      <t xml:space="preserve"> Released on October 3, this smartwatch offers LTE connectivity, health and fitness tracking features, and integrates seamlessly with other Galaxy devices.</t>
    </r>
  </si>
  <si>
    <r>
      <t>Galaxy Tab S10 Plus and Tab S10 Ultra:</t>
    </r>
    <r>
      <rPr>
        <sz val="11"/>
        <color theme="1"/>
        <rFont val="Calibri"/>
        <family val="2"/>
        <scheme val="minor"/>
      </rPr>
      <t xml:space="preserve"> Introduced in October, these tablets feature 12.4-inch and 14.6-inch displays respectively, with anti-reflective coatings, quad speakers, and are powered by the MediaTek Dimensity 9300 Plus processor, offering significant performance improvements and AI features like Note Assist and Draw Assist.</t>
    </r>
  </si>
  <si>
    <t>November 2024:</t>
  </si>
  <si>
    <r>
      <t>Galaxy Ring:</t>
    </r>
    <r>
      <rPr>
        <sz val="11"/>
        <color theme="1"/>
        <rFont val="Calibri"/>
        <family val="2"/>
        <scheme val="minor"/>
      </rPr>
      <t xml:space="preserve"> Launched in November, the Galaxy Ring is a wellness-focused wearable device designed to track health metrics such as heart rate, steps, and sleep patterns. It offers up to seven days of battery life and features built-in gesture controls.</t>
    </r>
  </si>
  <si>
    <t>Major News</t>
  </si>
  <si>
    <r>
      <t>Leadership Restructuring in Semiconductor Division:</t>
    </r>
    <r>
      <rPr>
        <sz val="11"/>
        <color theme="1"/>
        <rFont val="Calibri"/>
        <family val="2"/>
        <scheme val="minor"/>
      </rPr>
      <t xml:space="preserve"> Samsung has appointed new leaders for its memory and foundry chip units to enhance competitiveness in the AI chip market. Jun Young-hyun is now co-CEO and head of the memory chip business, while Han Jin-man leads the foundry business as president. Additionally, President and CFO Park Hark-kyu has transitioned to the Business Support Task Force, with a new CFO yet to be announced.</t>
    </r>
  </si>
  <si>
    <t>Reuters</t>
  </si>
  <si>
    <r>
      <t>$7 Billion Share Buyback Program:</t>
    </r>
    <r>
      <rPr>
        <sz val="11"/>
        <color theme="1"/>
        <rFont val="Calibri"/>
        <family val="2"/>
        <scheme val="minor"/>
      </rPr>
      <t xml:space="preserve"> Samsung announced a plan to repurchase shares worth over $7 billion over the next year, marking one of its largest shareholder return initiatives. The buyback aims to boost shareholder value amid concerns over the company's performance in the memory-chip sector.</t>
    </r>
  </si>
  <si>
    <t>The Wall Street Journal</t>
  </si>
  <si>
    <r>
      <t>Legal Challenges for Chairman Jay Y. Lee:</t>
    </r>
    <r>
      <rPr>
        <sz val="11"/>
        <color theme="1"/>
        <rFont val="Calibri"/>
        <family val="2"/>
        <scheme val="minor"/>
      </rPr>
      <t xml:space="preserve"> South Korean prosecutors have sought a five-year jail term for Samsung Electronics Chairman Jay Y. Lee in an appeals case related to a controversial merger between Samsung affiliates. This legal issue adds uncertainty to the company's leadership stability.</t>
    </r>
  </si>
  <si>
    <r>
      <t>Financial Performance in Q3 2024:</t>
    </r>
    <r>
      <rPr>
        <sz val="11"/>
        <color theme="1"/>
        <rFont val="Calibri"/>
        <family val="2"/>
        <scheme val="minor"/>
      </rPr>
      <t xml:space="preserve"> Samsung reported a 277% year-on-year increase in operating profit for Q3 2024, totaling 9.18 trillion won ($6.65 billion). However, this represents a 12% decline from the previous quarter, attributed to factors like employee incentives and a weaker U.S. dollar.</t>
    </r>
  </si>
  <si>
    <t>AP News</t>
  </si>
  <si>
    <r>
      <t>Patent Infringement Verdict:</t>
    </r>
    <r>
      <rPr>
        <sz val="11"/>
        <color theme="1"/>
        <rFont val="Calibri"/>
        <family val="2"/>
        <scheme val="minor"/>
      </rPr>
      <t xml:space="preserve"> A federal jury in Texas ordered Samsung to pay $118 million to Netlist for infringing patents related to high-performance memory products. The jury also found Samsung's infringement willful, which could potentially triple the damages.</t>
    </r>
  </si>
  <si>
    <r>
      <t>Progress in AI Chip Supply Deals:</t>
    </r>
    <r>
      <rPr>
        <sz val="11"/>
        <color theme="1"/>
        <rFont val="Calibri"/>
        <family val="2"/>
        <scheme val="minor"/>
      </rPr>
      <t xml:space="preserve"> Samsung reported significant progress in securing a supply deal for AI-focused chips, aiming to alleviate investor concerns after a recent semiconductor profit slowdown. The company is working to qualify its HBM3E products for major clients, speculated to be Nvidia.</t>
    </r>
  </si>
  <si>
    <r>
      <t>South Korea's Support for Chip Industry:</t>
    </r>
    <r>
      <rPr>
        <sz val="11"/>
        <color theme="1"/>
        <rFont val="Calibri"/>
        <family val="2"/>
        <scheme val="minor"/>
      </rPr>
      <t xml:space="preserve"> The South Korean government plans to provide 14 trillion won ($10 billion) in low-interest loans next year to support its chip industry amidst competitive pressure from China and uncertainties due to the new U.S. administration. This initiative aims to bolster companies like Samsung in overcoming industry challenges.</t>
    </r>
  </si>
  <si>
    <r>
      <t>Market Position Challenges:</t>
    </r>
    <r>
      <rPr>
        <sz val="11"/>
        <color theme="1"/>
        <rFont val="Calibri"/>
        <family val="2"/>
        <scheme val="minor"/>
      </rPr>
      <t xml:space="preserve"> Samsung's semiconductor division faces challenges, including a recent 40% profit drop and delays in the AI chip business. Competitors like SK Hynix and TSMC have gained ground, prompting Samsung to revamp its governance and strategic approach.</t>
    </r>
  </si>
  <si>
    <t>Financial Times</t>
  </si>
  <si>
    <r>
      <t>Investor Concerns Over Competitiveness:</t>
    </r>
    <r>
      <rPr>
        <sz val="11"/>
        <color theme="1"/>
        <rFont val="Calibri"/>
        <family val="2"/>
        <scheme val="minor"/>
      </rPr>
      <t xml:space="preserve"> Following the leadership reshuffle, Samsung's shares fell 2%, reflecting investor concerns over competitiveness and policy risks related to the incoming U.S. administration. The company is under pressure to enhance its technological edge and market position.</t>
    </r>
  </si>
  <si>
    <r>
      <t>Apology for Profit Shortfall:</t>
    </r>
    <r>
      <rPr>
        <sz val="11"/>
        <color theme="1"/>
        <rFont val="Calibri"/>
        <family val="2"/>
        <scheme val="minor"/>
      </rPr>
      <t xml:space="preserve"> Samsung issued an apology after revealing it expected a $6.78 billion operating profit for the previous quarter, falling $900 million short of analyst predictions. Vice Chairman Jun Young-hyun acknowledged concerns about the company's technological competitiveness and its future.</t>
    </r>
  </si>
  <si>
    <t>TTM</t>
  </si>
  <si>
    <t>Total Revenue</t>
  </si>
  <si>
    <t>EV / Sales (LTM)</t>
  </si>
  <si>
    <t>Cost of Revenue</t>
  </si>
  <si>
    <t>Price / Sales (LTM)</t>
  </si>
  <si>
    <t>Gross Profit</t>
  </si>
  <si>
    <t>EV / EBITDA (LTM)</t>
  </si>
  <si>
    <t>Operating Expense</t>
  </si>
  <si>
    <t>EV / EBIT (LTM)</t>
  </si>
  <si>
    <t>Operating Income</t>
  </si>
  <si>
    <t>Price / Earnings (LTM)</t>
  </si>
  <si>
    <t>Net Non Operating Interest Income Expense</t>
  </si>
  <si>
    <t>Price / Book (LTM)</t>
  </si>
  <si>
    <t>Pretax Income</t>
  </si>
  <si>
    <t>Tax Provision</t>
  </si>
  <si>
    <t>Profitability</t>
  </si>
  <si>
    <t>Net Income Common Stockholders</t>
  </si>
  <si>
    <t>Return on Assets</t>
  </si>
  <si>
    <t>Basic EPS</t>
  </si>
  <si>
    <t>Return on Equity</t>
  </si>
  <si>
    <t>Diluted EPS</t>
  </si>
  <si>
    <t>Return on Total Capital</t>
  </si>
  <si>
    <t>Basic Average Shares</t>
  </si>
  <si>
    <t>Return on Common Equity</t>
  </si>
  <si>
    <t>Diluted Average Shares</t>
  </si>
  <si>
    <t>Total Operating Income as Reported</t>
  </si>
  <si>
    <t>Total Expenses</t>
  </si>
  <si>
    <t>EBIT Margin</t>
  </si>
  <si>
    <t>Net Income from Continuing &amp; Discontinued Operation</t>
  </si>
  <si>
    <t>EBT Margin</t>
  </si>
  <si>
    <t>Interest Income</t>
  </si>
  <si>
    <t>Gross Profit Margin</t>
  </si>
  <si>
    <t>Interest Expense</t>
  </si>
  <si>
    <t>SG&amp;A Margin</t>
  </si>
  <si>
    <t>Net Interest Income</t>
  </si>
  <si>
    <t>Net Income Margin</t>
  </si>
  <si>
    <t>Current Ratio</t>
  </si>
  <si>
    <t>Quick Ratio</t>
  </si>
  <si>
    <t>Days Sales Outstanding</t>
  </si>
  <si>
    <t>Total Assets</t>
  </si>
  <si>
    <t>Days Payable Outstanding</t>
  </si>
  <si>
    <t>Total Liabilities Net Minority Interest</t>
  </si>
  <si>
    <t>Cash Conversion Cycle</t>
  </si>
  <si>
    <t>136;3</t>
  </si>
  <si>
    <t>Total Equity Gross Minority Interest</t>
  </si>
  <si>
    <t>Total Capitalization</t>
  </si>
  <si>
    <t>Solvency</t>
  </si>
  <si>
    <t>Preferred Stock Equity</t>
  </si>
  <si>
    <t>Total Debt / Equity</t>
  </si>
  <si>
    <t>Common Stock Equity</t>
  </si>
  <si>
    <t>Total Debt / Capital</t>
  </si>
  <si>
    <t>Capital Lease Obligations</t>
  </si>
  <si>
    <t>Long-Term Debt / Equity</t>
  </si>
  <si>
    <t>Net Tangible Assets</t>
  </si>
  <si>
    <t>Long-term Debt / Capital</t>
  </si>
  <si>
    <t>Working Capital</t>
  </si>
  <si>
    <t>Total Liabilities / Total Assets</t>
  </si>
  <si>
    <t>Invested Capital</t>
  </si>
  <si>
    <t>Tangible Book Value</t>
  </si>
  <si>
    <t>EBIT / Interest Expense</t>
  </si>
  <si>
    <t>EBITDA / Interest Expense</t>
  </si>
  <si>
    <t>Share Issued</t>
  </si>
  <si>
    <t>(EBITDA - Capex) / Interest Expense</t>
  </si>
  <si>
    <t>Ordinary Shares Number</t>
  </si>
  <si>
    <t>Preferred Shares Number</t>
  </si>
  <si>
    <t>Total Debt / EBITDA</t>
  </si>
  <si>
    <t>Current Assets</t>
  </si>
  <si>
    <t>Total Debt / (EBITDA - Capex)</t>
  </si>
  <si>
    <t>Current Liabilities</t>
  </si>
  <si>
    <t>Long-Term Debt and Capital Leases</t>
  </si>
  <si>
    <t>Cash Flows</t>
  </si>
  <si>
    <t>Operating Cash Flow</t>
  </si>
  <si>
    <t>Investing Cash Flow</t>
  </si>
  <si>
    <t>Financing Cash Flow</t>
  </si>
  <si>
    <t>Other Cash Adjustment Inside Change in Cash</t>
  </si>
  <si>
    <t>End Cash Position</t>
  </si>
  <si>
    <t>Changes in Cash</t>
  </si>
  <si>
    <t>Effect of Exchange Rate Changes</t>
  </si>
  <si>
    <t>Beginning Cash Position</t>
  </si>
  <si>
    <t>Other Cash Adjustment Outside Change in Cash</t>
  </si>
  <si>
    <t>Capital Expenditure</t>
  </si>
  <si>
    <t>Issuance of Debt</t>
  </si>
  <si>
    <t>Repayment of Debt</t>
  </si>
  <si>
    <t>Free Cash Flow</t>
  </si>
  <si>
    <t>Capital Structure</t>
  </si>
  <si>
    <t>Market Capitalization</t>
  </si>
  <si>
    <t>Cash &amp; Short Term Investments</t>
  </si>
  <si>
    <t>Preferred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</si>
</sst>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00_);_(&quot;$&quot;* \(#,##0.00\);_(&quot;$&quot;* &quot;-&quot;??_);_(@_)"/>
    <numFmt numFmtId="165" formatCode="_(* #,##0.00_);_(* \(#,##0.00\);_(* &quot;-&quot;??_);_(@_)"/>
    <numFmt numFmtId="166" formatCode="0&quot;A&quot;"/>
    <numFmt numFmtId="167" formatCode="0&quot;E&quot;"/>
    <numFmt numFmtId="168" formatCode="_(* #,##0_);_(* \(#,##0\);_(* &quot;-&quot;??_);_(@_)"/>
    <numFmt numFmtId="169" formatCode="0.0%"/>
    <numFmt numFmtId="170" formatCode="_-[$₩-412]* #,##0_-;\-[$₩-412]* #,##0_-;_-[$₩-412]* &quot;-&quot;??_-;_-@_-"/>
    <numFmt numFmtId="171" formatCode="_(* #,##0.0_);_(* \(#,##0.0\);_(* &quot;-&quot;?_);_(@_)"/>
    <numFmt numFmtId="172" formatCode="_([$$-409]* #,##0.00_);_([$$-409]* \(#,##0.00\);_([$$-409]* &quot;-&quot;??_);_(@_)"/>
    <numFmt numFmtId="173" formatCode="_-[$₩-412]* #,##0.00_-;\-[$₩-412]* #,##0.00_-;_-[$₩-412]* &quot;-&quot;??_-;_-@_-"/>
    <numFmt numFmtId="174" formatCode="_([$HKD]\ * #,##0.00_);_([$HKD]\ * \(#,##0.00\);_([$HKD]\ * &quot;-&quot;??_);_(@_)"/>
    <numFmt numFmtId="175" formatCode="0.0"/>
    <numFmt numFmtId="176" formatCode="_(* #,##0.0_);_(* \(#,##0.0\);_(* &quot;-&quot;??_);_(@_)"/>
    <numFmt numFmtId="177" formatCode="0.0000%"/>
    <numFmt numFmtId="178" formatCode="0.000"/>
    <numFmt numFmtId="179" formatCode="_(* #,##0.0000_);_(* \(#,##0.0000\);_(* &quot;-&quot;??_);_(@_)"/>
    <numFmt numFmtId="180" formatCode="_(* #,##0.0000_);_(* \(#,##0.0000\);_(* &quot;-&quot;????_);_(@_)"/>
  </numFmts>
  <fonts count="58" x14ac:knownFonts="1">
    <font>
      <sz val="11"/>
      <color theme="1"/>
      <name val="Calibri"/>
      <family val="2"/>
      <scheme val="minor"/>
    </font>
    <font>
      <sz val="11"/>
      <color theme="1"/>
      <name val="Calibri"/>
      <scheme val="minor"/>
    </font>
    <font>
      <sz val="11"/>
      <color theme="1"/>
      <name val="Calibri"/>
      <scheme val="minor"/>
    </font>
    <font>
      <sz val="11"/>
      <color theme="1"/>
      <name val="Calibri"/>
      <scheme val="minor"/>
    </font>
    <font>
      <sz val="11"/>
      <color theme="1"/>
      <name val="Calibri"/>
      <family val="2"/>
      <scheme val="minor"/>
    </font>
    <font>
      <b/>
      <sz val="16"/>
      <color theme="1"/>
      <name val="Arial Nova"/>
      <family val="2"/>
    </font>
    <font>
      <sz val="11"/>
      <color theme="1"/>
      <name val="Arial Nova"/>
      <family val="2"/>
    </font>
    <font>
      <sz val="11"/>
      <color theme="0"/>
      <name val="Arial Nova"/>
      <family val="2"/>
    </font>
    <font>
      <b/>
      <sz val="11"/>
      <color theme="0"/>
      <name val="Arial Nova"/>
      <family val="2"/>
    </font>
    <font>
      <b/>
      <sz val="11"/>
      <color theme="1"/>
      <name val="Arial Nova"/>
      <family val="2"/>
    </font>
    <font>
      <sz val="11"/>
      <color theme="0"/>
      <name val="Arial Nova"/>
    </font>
    <font>
      <sz val="11"/>
      <color theme="1"/>
      <name val="Arial Nova"/>
    </font>
    <font>
      <u/>
      <sz val="11"/>
      <color theme="10"/>
      <name val="Calibri"/>
      <family val="2"/>
      <scheme val="minor"/>
    </font>
    <font>
      <b/>
      <sz val="11"/>
      <color theme="0"/>
      <name val="Calibri"/>
      <scheme val="minor"/>
    </font>
    <font>
      <b/>
      <sz val="11"/>
      <color theme="1"/>
      <name val="Calibri"/>
      <scheme val="minor"/>
    </font>
    <font>
      <sz val="11"/>
      <color theme="0"/>
      <name val="Calibri"/>
      <scheme val="minor"/>
    </font>
    <font>
      <sz val="11"/>
      <color theme="1"/>
      <name val="Calibri Light"/>
      <scheme val="major"/>
    </font>
    <font>
      <b/>
      <sz val="16"/>
      <color theme="1"/>
      <name val="Calibri Light"/>
      <scheme val="major"/>
    </font>
    <font>
      <sz val="11"/>
      <color rgb="FF000000"/>
      <name val="Calibri Light"/>
      <scheme val="major"/>
    </font>
    <font>
      <b/>
      <sz val="11"/>
      <color theme="1"/>
      <name val="Calibri Light"/>
      <scheme val="major"/>
    </font>
    <font>
      <sz val="11"/>
      <color theme="0"/>
      <name val="Calibri Light"/>
      <scheme val="major"/>
    </font>
    <font>
      <b/>
      <sz val="11"/>
      <color theme="0"/>
      <name val="Calibri Light"/>
      <scheme val="major"/>
    </font>
    <font>
      <sz val="12"/>
      <color theme="1"/>
      <name val="Calibri Light"/>
      <scheme val="major"/>
    </font>
    <font>
      <b/>
      <sz val="12"/>
      <color theme="1"/>
      <name val="Calibri Light"/>
      <scheme val="major"/>
    </font>
    <font>
      <b/>
      <sz val="12"/>
      <color theme="0"/>
      <name val="Calibri Light"/>
      <scheme val="major"/>
    </font>
    <font>
      <sz val="12"/>
      <color theme="0"/>
      <name val="Calibri Light"/>
      <scheme val="major"/>
    </font>
    <font>
      <sz val="12"/>
      <color rgb="FF0070C0"/>
      <name val="Calibri Light"/>
      <scheme val="major"/>
    </font>
    <font>
      <sz val="12"/>
      <color theme="1"/>
      <name val="Calibri"/>
      <scheme val="minor"/>
    </font>
    <font>
      <b/>
      <sz val="12"/>
      <color theme="1"/>
      <name val="Calibri"/>
      <scheme val="minor"/>
    </font>
    <font>
      <b/>
      <sz val="12"/>
      <color theme="0"/>
      <name val="Calibri"/>
      <scheme val="minor"/>
    </font>
    <font>
      <sz val="12"/>
      <color theme="0"/>
      <name val="Calibri"/>
      <scheme val="minor"/>
    </font>
    <font>
      <b/>
      <sz val="12"/>
      <color rgb="FF000000"/>
      <name val="Calibri"/>
      <scheme val="minor"/>
    </font>
    <font>
      <b/>
      <u/>
      <sz val="12"/>
      <name val="Calibri"/>
      <scheme val="minor"/>
    </font>
    <font>
      <sz val="12"/>
      <name val="Calibri"/>
      <scheme val="minor"/>
    </font>
    <font>
      <sz val="12"/>
      <color rgb="FF0070C0"/>
      <name val="Calibri"/>
      <scheme val="minor"/>
    </font>
    <font>
      <sz val="12"/>
      <color rgb="FF000000"/>
      <name val="Calibri"/>
      <scheme val="minor"/>
    </font>
    <font>
      <sz val="12"/>
      <color rgb="FF00B050"/>
      <name val="Calibri"/>
      <scheme val="minor"/>
    </font>
    <font>
      <i/>
      <sz val="12"/>
      <color theme="1"/>
      <name val="Calibri"/>
      <scheme val="minor"/>
    </font>
    <font>
      <b/>
      <sz val="16"/>
      <color theme="1"/>
      <name val="Calibri"/>
      <scheme val="minor"/>
    </font>
    <font>
      <sz val="11"/>
      <color rgb="FF0070C0"/>
      <name val="Calibri"/>
      <scheme val="minor"/>
    </font>
    <font>
      <i/>
      <sz val="11"/>
      <color theme="1"/>
      <name val="Calibri"/>
      <scheme val="minor"/>
    </font>
    <font>
      <sz val="11"/>
      <color rgb="FF000000"/>
      <name val="Calibri"/>
      <scheme val="minor"/>
    </font>
    <font>
      <sz val="11"/>
      <name val="Calibri"/>
      <scheme val="minor"/>
    </font>
    <font>
      <u/>
      <sz val="11"/>
      <color theme="10"/>
      <name val="Calibri"/>
      <scheme val="minor"/>
    </font>
    <font>
      <b/>
      <sz val="11"/>
      <color rgb="FF000000"/>
      <name val="Calibri"/>
      <family val="2"/>
    </font>
    <font>
      <sz val="11"/>
      <color rgb="FF000000"/>
      <name val="Calibri"/>
      <family val="2"/>
    </font>
    <font>
      <b/>
      <sz val="11"/>
      <color rgb="FFFFFFFF"/>
      <name val="Calibri"/>
      <family val="2"/>
    </font>
    <font>
      <b/>
      <sz val="11"/>
      <color theme="1"/>
      <name val="Calibri"/>
      <family val="2"/>
      <scheme val="minor"/>
    </font>
    <font>
      <b/>
      <sz val="11"/>
      <color rgb="FF232A31"/>
      <name val="Calibri"/>
      <scheme val="minor"/>
    </font>
    <font>
      <sz val="11"/>
      <color rgb="FF232A31"/>
      <name val="Calibri"/>
      <scheme val="minor"/>
    </font>
    <font>
      <sz val="12"/>
      <color theme="0"/>
      <name val="Calibri"/>
      <family val="2"/>
      <scheme val="minor"/>
    </font>
    <font>
      <b/>
      <sz val="12"/>
      <color theme="0"/>
      <name val="Calibri"/>
      <family val="2"/>
      <scheme val="minor"/>
    </font>
    <font>
      <sz val="12"/>
      <name val="Calibri"/>
      <family val="2"/>
      <scheme val="minor"/>
    </font>
    <font>
      <sz val="12"/>
      <color rgb="FF000000"/>
      <name val="Calibri"/>
      <family val="2"/>
      <scheme val="minor"/>
    </font>
    <font>
      <sz val="12"/>
      <color theme="1"/>
      <name val="Calibri"/>
      <family val="2"/>
      <scheme val="minor"/>
    </font>
    <font>
      <sz val="12"/>
      <color rgb="FF0070C0"/>
      <name val="Calibri"/>
      <family val="2"/>
      <scheme val="minor"/>
    </font>
    <font>
      <i/>
      <sz val="12"/>
      <color theme="1"/>
      <name val="Calibri"/>
      <family val="2"/>
      <scheme val="minor"/>
    </font>
    <font>
      <sz val="9"/>
      <color rgb="FF000000"/>
      <name val="Calibri"/>
      <scheme val="minor"/>
    </font>
  </fonts>
  <fills count="12">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7B1314"/>
        <bgColor rgb="FF000000"/>
      </patternFill>
    </fill>
    <fill>
      <patternFill patternType="solid">
        <fgColor rgb="FF7B1314"/>
        <bgColor indexed="64"/>
      </patternFill>
    </fill>
    <fill>
      <patternFill patternType="solid">
        <fgColor theme="5"/>
        <bgColor indexed="64"/>
      </patternFill>
    </fill>
    <fill>
      <patternFill patternType="solid">
        <fgColor theme="2"/>
        <bgColor indexed="64"/>
      </patternFill>
    </fill>
    <fill>
      <patternFill patternType="solid">
        <fgColor rgb="FFFFFFFF"/>
        <bgColor indexed="64"/>
      </patternFill>
    </fill>
    <fill>
      <patternFill patternType="solid">
        <fgColor rgb="FFFFFF00"/>
        <bgColor indexed="64"/>
      </patternFill>
    </fill>
  </fills>
  <borders count="21">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right style="thin">
        <color indexed="64"/>
      </right>
      <top/>
      <bottom/>
      <diagonal/>
    </border>
    <border>
      <left/>
      <right style="hair">
        <color indexed="64"/>
      </right>
      <top style="hair">
        <color indexed="64"/>
      </top>
      <bottom style="hair">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bottom style="thin">
        <color rgb="FF000000"/>
      </bottom>
      <diagonal/>
    </border>
    <border>
      <left/>
      <right style="thin">
        <color rgb="FF000000"/>
      </right>
      <top/>
      <bottom/>
      <diagonal/>
    </border>
    <border>
      <left/>
      <right style="dotted">
        <color rgb="FF000000"/>
      </right>
      <top style="hair">
        <color indexed="64"/>
      </top>
      <bottom style="hair">
        <color indexed="64"/>
      </bottom>
      <diagonal/>
    </border>
    <border>
      <left/>
      <right style="dotted">
        <color rgb="FF000000"/>
      </right>
      <top style="dotted">
        <color indexed="64"/>
      </top>
      <bottom style="dotted">
        <color indexed="64"/>
      </bottom>
      <diagonal/>
    </border>
    <border>
      <left/>
      <right style="dotted">
        <color rgb="FF000000"/>
      </right>
      <top style="dotted">
        <color indexed="64"/>
      </top>
      <bottom/>
      <diagonal/>
    </border>
    <border>
      <left/>
      <right style="dotted">
        <color rgb="FF000000"/>
      </right>
      <top/>
      <bottom style="dotted">
        <color indexed="64"/>
      </bottom>
      <diagonal/>
    </border>
    <border>
      <left/>
      <right/>
      <top/>
      <bottom style="thin">
        <color theme="0"/>
      </bottom>
      <diagonal/>
    </border>
  </borders>
  <cellStyleXfs count="4">
    <xf numFmtId="0" fontId="0" fillId="0" borderId="0"/>
    <xf numFmtId="9" fontId="4" fillId="0" borderId="0" applyFont="0" applyFill="0" applyBorder="0" applyAlignment="0" applyProtection="0"/>
    <xf numFmtId="165" fontId="4" fillId="0" borderId="0" applyFont="0" applyFill="0" applyBorder="0" applyAlignment="0" applyProtection="0"/>
    <xf numFmtId="0" fontId="12" fillId="0" borderId="0" applyNumberFormat="0" applyFill="0" applyBorder="0" applyAlignment="0" applyProtection="0"/>
  </cellStyleXfs>
  <cellXfs count="317">
    <xf numFmtId="0" fontId="0" fillId="0" borderId="0" xfId="0"/>
    <xf numFmtId="0" fontId="6" fillId="0" borderId="0" xfId="0" applyFont="1"/>
    <xf numFmtId="0" fontId="5" fillId="0" borderId="1" xfId="0" applyFont="1" applyBorder="1"/>
    <xf numFmtId="0" fontId="6" fillId="0" borderId="1" xfId="0" applyFont="1" applyBorder="1"/>
    <xf numFmtId="10" fontId="6" fillId="0" borderId="0" xfId="1" applyNumberFormat="1" applyFont="1"/>
    <xf numFmtId="10" fontId="6" fillId="0" borderId="0" xfId="0" applyNumberFormat="1" applyFont="1"/>
    <xf numFmtId="3" fontId="6" fillId="0" borderId="0" xfId="0" applyNumberFormat="1" applyFont="1"/>
    <xf numFmtId="0" fontId="9" fillId="0" borderId="0" xfId="0" applyFont="1"/>
    <xf numFmtId="10" fontId="9" fillId="0" borderId="0" xfId="1" applyNumberFormat="1" applyFont="1"/>
    <xf numFmtId="10" fontId="6" fillId="3" borderId="2" xfId="1" applyNumberFormat="1" applyFont="1" applyFill="1" applyBorder="1"/>
    <xf numFmtId="0" fontId="6" fillId="3" borderId="2" xfId="0" applyFont="1" applyFill="1" applyBorder="1"/>
    <xf numFmtId="3" fontId="6" fillId="3" borderId="2" xfId="0" applyNumberFormat="1" applyFont="1" applyFill="1" applyBorder="1"/>
    <xf numFmtId="170" fontId="6" fillId="0" borderId="0" xfId="0" applyNumberFormat="1" applyFont="1"/>
    <xf numFmtId="10" fontId="11" fillId="0" borderId="0" xfId="0" applyNumberFormat="1" applyFont="1"/>
    <xf numFmtId="0" fontId="16" fillId="0" borderId="0" xfId="0" applyFont="1"/>
    <xf numFmtId="0" fontId="16" fillId="0" borderId="1" xfId="0" applyFont="1" applyBorder="1"/>
    <xf numFmtId="0" fontId="17" fillId="0" borderId="1" xfId="0" applyFont="1" applyBorder="1"/>
    <xf numFmtId="14" fontId="18" fillId="2" borderId="3" xfId="0" applyNumberFormat="1" applyFont="1" applyFill="1" applyBorder="1" applyAlignment="1">
      <alignment horizontal="center"/>
    </xf>
    <xf numFmtId="0" fontId="18" fillId="2" borderId="3" xfId="0" applyFont="1" applyFill="1" applyBorder="1" applyAlignment="1">
      <alignment horizontal="center"/>
    </xf>
    <xf numFmtId="168" fontId="16" fillId="0" borderId="0" xfId="0" applyNumberFormat="1" applyFont="1"/>
    <xf numFmtId="2" fontId="16" fillId="0" borderId="0" xfId="0" applyNumberFormat="1" applyFont="1"/>
    <xf numFmtId="0" fontId="19" fillId="0" borderId="0" xfId="0" applyFont="1"/>
    <xf numFmtId="0" fontId="19" fillId="5" borderId="0" xfId="0" applyFont="1" applyFill="1"/>
    <xf numFmtId="0" fontId="22" fillId="0" borderId="0" xfId="0" applyFont="1"/>
    <xf numFmtId="0" fontId="25" fillId="0" borderId="0" xfId="0" applyFont="1"/>
    <xf numFmtId="168" fontId="22" fillId="0" borderId="0" xfId="2" applyNumberFormat="1" applyFont="1"/>
    <xf numFmtId="0" fontId="23" fillId="0" borderId="0" xfId="0" applyFont="1"/>
    <xf numFmtId="172" fontId="22" fillId="0" borderId="0" xfId="0" applyNumberFormat="1" applyFont="1" applyAlignment="1">
      <alignment horizontal="center"/>
    </xf>
    <xf numFmtId="173" fontId="22" fillId="0" borderId="0" xfId="0" applyNumberFormat="1" applyFont="1" applyAlignment="1">
      <alignment horizontal="center"/>
    </xf>
    <xf numFmtId="174" fontId="22" fillId="0" borderId="0" xfId="0" applyNumberFormat="1" applyFont="1" applyAlignment="1">
      <alignment horizontal="center"/>
    </xf>
    <xf numFmtId="168" fontId="22" fillId="0" borderId="0" xfId="0" applyNumberFormat="1" applyFont="1" applyAlignment="1">
      <alignment horizontal="right"/>
    </xf>
    <xf numFmtId="0" fontId="26" fillId="0" borderId="0" xfId="0" applyFont="1"/>
    <xf numFmtId="165" fontId="16" fillId="0" borderId="0" xfId="0" applyNumberFormat="1" applyFont="1"/>
    <xf numFmtId="3" fontId="22" fillId="0" borderId="0" xfId="0" applyNumberFormat="1" applyFont="1" applyAlignment="1">
      <alignment horizontal="right"/>
    </xf>
    <xf numFmtId="9" fontId="16" fillId="0" borderId="0" xfId="0" applyNumberFormat="1" applyFont="1" applyAlignment="1">
      <alignment horizontal="center"/>
    </xf>
    <xf numFmtId="168" fontId="16" fillId="0" borderId="0" xfId="0" applyNumberFormat="1" applyFont="1" applyAlignment="1">
      <alignment horizontal="center"/>
    </xf>
    <xf numFmtId="0" fontId="16" fillId="0" borderId="0" xfId="0" applyFont="1" applyAlignment="1">
      <alignment horizontal="center"/>
    </xf>
    <xf numFmtId="2" fontId="16" fillId="0" borderId="0" xfId="0" applyNumberFormat="1" applyFont="1" applyAlignment="1">
      <alignment horizontal="center"/>
    </xf>
    <xf numFmtId="175" fontId="16" fillId="0" borderId="0" xfId="0" applyNumberFormat="1" applyFont="1"/>
    <xf numFmtId="168" fontId="16" fillId="0" borderId="0" xfId="0" applyNumberFormat="1" applyFont="1" applyAlignment="1">
      <alignment horizontal="right"/>
    </xf>
    <xf numFmtId="168" fontId="16" fillId="0" borderId="0" xfId="0" quotePrefix="1" applyNumberFormat="1" applyFont="1" applyAlignment="1">
      <alignment horizontal="center"/>
    </xf>
    <xf numFmtId="3" fontId="16" fillId="0" borderId="0" xfId="0" applyNumberFormat="1" applyFont="1"/>
    <xf numFmtId="173" fontId="16" fillId="0" borderId="0" xfId="0" applyNumberFormat="1" applyFont="1" applyAlignment="1">
      <alignment horizontal="right"/>
    </xf>
    <xf numFmtId="0" fontId="27" fillId="0" borderId="0" xfId="0" applyFont="1"/>
    <xf numFmtId="0" fontId="27" fillId="0" borderId="1" xfId="0" applyFont="1" applyBorder="1"/>
    <xf numFmtId="0" fontId="28" fillId="0" borderId="1" xfId="0" applyFont="1" applyBorder="1"/>
    <xf numFmtId="0" fontId="30" fillId="0" borderId="0" xfId="0" applyFont="1"/>
    <xf numFmtId="0" fontId="31" fillId="0" borderId="1" xfId="0" applyFont="1" applyBorder="1"/>
    <xf numFmtId="0" fontId="32" fillId="0" borderId="0" xfId="0" applyFont="1"/>
    <xf numFmtId="0" fontId="33" fillId="0" borderId="0" xfId="0" applyFont="1"/>
    <xf numFmtId="1" fontId="34" fillId="2" borderId="3" xfId="0" applyNumberFormat="1" applyFont="1" applyFill="1" applyBorder="1" applyAlignment="1">
      <alignment horizontal="center"/>
    </xf>
    <xf numFmtId="10" fontId="35" fillId="2" borderId="3" xfId="0" applyNumberFormat="1" applyFont="1" applyFill="1" applyBorder="1" applyAlignment="1">
      <alignment horizontal="center"/>
    </xf>
    <xf numFmtId="10" fontId="36" fillId="2" borderId="3" xfId="0" applyNumberFormat="1" applyFont="1" applyFill="1" applyBorder="1" applyAlignment="1">
      <alignment horizontal="center"/>
    </xf>
    <xf numFmtId="10" fontId="35" fillId="2" borderId="3" xfId="1" applyNumberFormat="1" applyFont="1" applyFill="1" applyBorder="1" applyAlignment="1">
      <alignment horizontal="center"/>
    </xf>
    <xf numFmtId="14" fontId="27" fillId="0" borderId="0" xfId="0" applyNumberFormat="1" applyFont="1" applyAlignment="1">
      <alignment horizontal="left"/>
    </xf>
    <xf numFmtId="14" fontId="27" fillId="0" borderId="0" xfId="0" applyNumberFormat="1" applyFont="1"/>
    <xf numFmtId="0" fontId="27" fillId="0" borderId="0" xfId="0" applyFont="1" applyAlignment="1">
      <alignment wrapText="1"/>
    </xf>
    <xf numFmtId="10" fontId="27" fillId="0" borderId="0" xfId="0" applyNumberFormat="1" applyFont="1"/>
    <xf numFmtId="10" fontId="34" fillId="2" borderId="3" xfId="1" applyNumberFormat="1" applyFont="1" applyFill="1" applyBorder="1" applyAlignment="1">
      <alignment horizontal="center"/>
    </xf>
    <xf numFmtId="9" fontId="33" fillId="0" borderId="0" xfId="1" applyFont="1"/>
    <xf numFmtId="0" fontId="37" fillId="0" borderId="0" xfId="0" applyFont="1"/>
    <xf numFmtId="167" fontId="29" fillId="0" borderId="0" xfId="0" applyNumberFormat="1" applyFont="1"/>
    <xf numFmtId="168" fontId="36" fillId="0" borderId="0" xfId="2" applyNumberFormat="1" applyFont="1" applyFill="1"/>
    <xf numFmtId="168" fontId="33" fillId="0" borderId="0" xfId="2" applyNumberFormat="1" applyFont="1" applyFill="1" applyBorder="1"/>
    <xf numFmtId="169" fontId="27" fillId="0" borderId="0" xfId="2" applyNumberFormat="1" applyFont="1" applyFill="1"/>
    <xf numFmtId="169" fontId="33" fillId="0" borderId="0" xfId="1" applyNumberFormat="1" applyFont="1" applyFill="1" applyBorder="1"/>
    <xf numFmtId="169" fontId="33" fillId="0" borderId="0" xfId="1" applyNumberFormat="1" applyFont="1" applyFill="1"/>
    <xf numFmtId="168" fontId="33" fillId="0" borderId="0" xfId="2" applyNumberFormat="1" applyFont="1"/>
    <xf numFmtId="169" fontId="33" fillId="0" borderId="0" xfId="1" applyNumberFormat="1" applyFont="1"/>
    <xf numFmtId="169" fontId="27" fillId="0" borderId="0" xfId="0" applyNumberFormat="1" applyFont="1"/>
    <xf numFmtId="169" fontId="33" fillId="0" borderId="0" xfId="0" applyNumberFormat="1" applyFont="1"/>
    <xf numFmtId="9" fontId="33" fillId="0" borderId="0" xfId="1" applyFont="1" applyFill="1" applyBorder="1"/>
    <xf numFmtId="169" fontId="27" fillId="0" borderId="0" xfId="1" applyNumberFormat="1" applyFont="1" applyFill="1"/>
    <xf numFmtId="37" fontId="34" fillId="4" borderId="0" xfId="2" applyNumberFormat="1" applyFont="1" applyFill="1" applyAlignment="1">
      <alignment wrapText="1"/>
    </xf>
    <xf numFmtId="168" fontId="33" fillId="0" borderId="0" xfId="2" applyNumberFormat="1" applyFont="1" applyFill="1"/>
    <xf numFmtId="168" fontId="27" fillId="0" borderId="0" xfId="0" applyNumberFormat="1" applyFont="1"/>
    <xf numFmtId="10" fontId="36" fillId="0" borderId="0" xfId="0" applyNumberFormat="1" applyFont="1"/>
    <xf numFmtId="168" fontId="34" fillId="0" borderId="0" xfId="0" applyNumberFormat="1" applyFont="1"/>
    <xf numFmtId="9" fontId="27" fillId="0" borderId="0" xfId="0" applyNumberFormat="1" applyFont="1"/>
    <xf numFmtId="2" fontId="34" fillId="0" borderId="0" xfId="1" applyNumberFormat="1" applyFont="1" applyFill="1"/>
    <xf numFmtId="0" fontId="29" fillId="0" borderId="0" xfId="0" applyFont="1"/>
    <xf numFmtId="168" fontId="33" fillId="0" borderId="0" xfId="0" applyNumberFormat="1" applyFont="1"/>
    <xf numFmtId="164" fontId="27" fillId="0" borderId="0" xfId="0" applyNumberFormat="1" applyFont="1" applyAlignment="1">
      <alignment wrapText="1"/>
    </xf>
    <xf numFmtId="168" fontId="33" fillId="0" borderId="4" xfId="2" applyNumberFormat="1" applyFont="1" applyFill="1" applyBorder="1"/>
    <xf numFmtId="169" fontId="27" fillId="0" borderId="4" xfId="1" applyNumberFormat="1" applyFont="1" applyFill="1" applyBorder="1"/>
    <xf numFmtId="169" fontId="27" fillId="0" borderId="0" xfId="1" applyNumberFormat="1" applyFont="1" applyFill="1" applyBorder="1"/>
    <xf numFmtId="0" fontId="27" fillId="0" borderId="4" xfId="0" applyFont="1" applyBorder="1"/>
    <xf numFmtId="169" fontId="27" fillId="2" borderId="5" xfId="1" applyNumberFormat="1" applyFont="1" applyFill="1" applyBorder="1"/>
    <xf numFmtId="169" fontId="27" fillId="2" borderId="16" xfId="1" applyNumberFormat="1" applyFont="1" applyFill="1" applyBorder="1"/>
    <xf numFmtId="169" fontId="33" fillId="2" borderId="5" xfId="1" applyNumberFormat="1" applyFont="1" applyFill="1" applyBorder="1"/>
    <xf numFmtId="169" fontId="33" fillId="2" borderId="16" xfId="1" applyNumberFormat="1" applyFont="1" applyFill="1" applyBorder="1"/>
    <xf numFmtId="168" fontId="27" fillId="0" borderId="0" xfId="2" applyNumberFormat="1" applyFont="1" applyFill="1"/>
    <xf numFmtId="168" fontId="27" fillId="0" borderId="0" xfId="2" applyNumberFormat="1" applyFont="1" applyFill="1" applyBorder="1"/>
    <xf numFmtId="169" fontId="27" fillId="0" borderId="0" xfId="1" applyNumberFormat="1" applyFont="1"/>
    <xf numFmtId="0" fontId="27" fillId="0" borderId="6" xfId="0" applyFont="1" applyBorder="1"/>
    <xf numFmtId="0" fontId="27" fillId="0" borderId="7" xfId="0" applyFont="1" applyBorder="1"/>
    <xf numFmtId="168" fontId="27" fillId="0" borderId="7" xfId="0" applyNumberFormat="1" applyFont="1" applyBorder="1"/>
    <xf numFmtId="0" fontId="27" fillId="0" borderId="8" xfId="0" applyFont="1" applyBorder="1"/>
    <xf numFmtId="168" fontId="27" fillId="0" borderId="7" xfId="2" applyNumberFormat="1" applyFont="1" applyBorder="1"/>
    <xf numFmtId="168" fontId="27" fillId="0" borderId="17" xfId="2" applyNumberFormat="1" applyFont="1" applyBorder="1"/>
    <xf numFmtId="168" fontId="36" fillId="0" borderId="0" xfId="2" applyNumberFormat="1" applyFont="1" applyFill="1" applyBorder="1"/>
    <xf numFmtId="168" fontId="35" fillId="0" borderId="0" xfId="2" applyNumberFormat="1" applyFont="1" applyFill="1"/>
    <xf numFmtId="0" fontId="27" fillId="0" borderId="13" xfId="0" applyFont="1" applyBorder="1"/>
    <xf numFmtId="0" fontId="27" fillId="0" borderId="9" xfId="0" applyFont="1" applyBorder="1"/>
    <xf numFmtId="0" fontId="27" fillId="0" borderId="10" xfId="0" applyFont="1" applyBorder="1"/>
    <xf numFmtId="168" fontId="27" fillId="0" borderId="10" xfId="0" applyNumberFormat="1" applyFont="1" applyBorder="1"/>
    <xf numFmtId="168" fontId="27" fillId="0" borderId="18" xfId="0" applyNumberFormat="1" applyFont="1" applyBorder="1"/>
    <xf numFmtId="0" fontId="27" fillId="0" borderId="11" xfId="0" applyFont="1" applyBorder="1"/>
    <xf numFmtId="0" fontId="27" fillId="0" borderId="12" xfId="0" applyFont="1" applyBorder="1"/>
    <xf numFmtId="168" fontId="27" fillId="0" borderId="12" xfId="0" applyNumberFormat="1" applyFont="1" applyBorder="1"/>
    <xf numFmtId="168" fontId="27" fillId="0" borderId="19" xfId="0" applyNumberFormat="1" applyFont="1" applyBorder="1"/>
    <xf numFmtId="2" fontId="27" fillId="0" borderId="0" xfId="0" applyNumberFormat="1" applyFont="1"/>
    <xf numFmtId="14" fontId="30" fillId="0" borderId="0" xfId="0" applyNumberFormat="1" applyFont="1"/>
    <xf numFmtId="168" fontId="27" fillId="0" borderId="0" xfId="2" applyNumberFormat="1" applyFont="1"/>
    <xf numFmtId="0" fontId="28" fillId="0" borderId="0" xfId="0" applyFont="1"/>
    <xf numFmtId="168" fontId="28" fillId="0" borderId="0" xfId="0" applyNumberFormat="1" applyFont="1" applyAlignment="1">
      <alignment horizontal="right"/>
    </xf>
    <xf numFmtId="165" fontId="28" fillId="0" borderId="0" xfId="0" applyNumberFormat="1" applyFont="1"/>
    <xf numFmtId="170" fontId="27" fillId="0" borderId="0" xfId="0" applyNumberFormat="1" applyFont="1"/>
    <xf numFmtId="0" fontId="38" fillId="0" borderId="14" xfId="0" applyFont="1" applyBorder="1"/>
    <xf numFmtId="0" fontId="3" fillId="0" borderId="14" xfId="0" applyFont="1" applyBorder="1"/>
    <xf numFmtId="0" fontId="3" fillId="0" borderId="0" xfId="0" applyFont="1"/>
    <xf numFmtId="9" fontId="42" fillId="0" borderId="0" xfId="2" applyNumberFormat="1" applyFont="1" applyFill="1"/>
    <xf numFmtId="9" fontId="42" fillId="0" borderId="0" xfId="2" applyNumberFormat="1" applyFont="1"/>
    <xf numFmtId="168" fontId="39" fillId="0" borderId="0" xfId="2" applyNumberFormat="1" applyFont="1"/>
    <xf numFmtId="169" fontId="42" fillId="0" borderId="0" xfId="2" applyNumberFormat="1" applyFont="1"/>
    <xf numFmtId="168" fontId="42" fillId="0" borderId="0" xfId="2" applyNumberFormat="1" applyFont="1"/>
    <xf numFmtId="168" fontId="39" fillId="0" borderId="0" xfId="2" applyNumberFormat="1" applyFont="1" applyFill="1"/>
    <xf numFmtId="169" fontId="41" fillId="0" borderId="0" xfId="2" applyNumberFormat="1" applyFont="1" applyFill="1"/>
    <xf numFmtId="169" fontId="41" fillId="0" borderId="0" xfId="2" applyNumberFormat="1" applyFont="1"/>
    <xf numFmtId="169" fontId="39" fillId="0" borderId="0" xfId="2" applyNumberFormat="1" applyFont="1"/>
    <xf numFmtId="169" fontId="42" fillId="0" borderId="0" xfId="2" applyNumberFormat="1" applyFont="1" applyFill="1"/>
    <xf numFmtId="169" fontId="39" fillId="0" borderId="0" xfId="0" applyNumberFormat="1" applyFont="1"/>
    <xf numFmtId="168" fontId="41" fillId="0" borderId="0" xfId="2" applyNumberFormat="1" applyFont="1"/>
    <xf numFmtId="0" fontId="13" fillId="0" borderId="0" xfId="0" applyFont="1"/>
    <xf numFmtId="0" fontId="15" fillId="0" borderId="0" xfId="0" applyFont="1"/>
    <xf numFmtId="166" fontId="13" fillId="0" borderId="0" xfId="0" applyNumberFormat="1" applyFont="1"/>
    <xf numFmtId="167" fontId="13" fillId="0" borderId="0" xfId="0" applyNumberFormat="1" applyFont="1"/>
    <xf numFmtId="0" fontId="43" fillId="0" borderId="0" xfId="3" applyFont="1" applyAlignment="1">
      <alignment wrapText="1"/>
    </xf>
    <xf numFmtId="168" fontId="43" fillId="0" borderId="0" xfId="3" applyNumberFormat="1" applyFont="1" applyFill="1" applyBorder="1"/>
    <xf numFmtId="168" fontId="39" fillId="0" borderId="0" xfId="2" applyNumberFormat="1" applyFont="1" applyFill="1" applyBorder="1"/>
    <xf numFmtId="168" fontId="42" fillId="0" borderId="0" xfId="2" applyNumberFormat="1" applyFont="1" applyFill="1" applyBorder="1"/>
    <xf numFmtId="0" fontId="40" fillId="0" borderId="0" xfId="0" applyFont="1"/>
    <xf numFmtId="169" fontId="39" fillId="0" borderId="0" xfId="2" applyNumberFormat="1" applyFont="1" applyFill="1" applyBorder="1"/>
    <xf numFmtId="169" fontId="41" fillId="0" borderId="0" xfId="2" applyNumberFormat="1" applyFont="1" applyFill="1" applyBorder="1"/>
    <xf numFmtId="0" fontId="14" fillId="0" borderId="0" xfId="0" applyFont="1" applyAlignment="1">
      <alignment horizontal="left"/>
    </xf>
    <xf numFmtId="0" fontId="40" fillId="0" borderId="0" xfId="0" applyFont="1" applyAlignment="1">
      <alignment horizontal="left" indent="1"/>
    </xf>
    <xf numFmtId="169" fontId="42" fillId="0" borderId="0" xfId="2" applyNumberFormat="1" applyFont="1" applyFill="1" applyBorder="1"/>
    <xf numFmtId="9" fontId="19" fillId="5" borderId="0" xfId="0" applyNumberFormat="1" applyFont="1" applyFill="1" applyAlignment="1">
      <alignment horizontal="center"/>
    </xf>
    <xf numFmtId="0" fontId="19" fillId="5" borderId="0" xfId="0" applyFont="1" applyFill="1" applyAlignment="1">
      <alignment horizontal="center"/>
    </xf>
    <xf numFmtId="175" fontId="19" fillId="5" borderId="0" xfId="0" applyNumberFormat="1" applyFont="1" applyFill="1" applyAlignment="1">
      <alignment horizontal="center"/>
    </xf>
    <xf numFmtId="0" fontId="44" fillId="0" borderId="0" xfId="0" applyFont="1" applyAlignment="1">
      <alignment horizontal="right"/>
    </xf>
    <xf numFmtId="0" fontId="45" fillId="0" borderId="0" xfId="0" applyFont="1" applyAlignment="1">
      <alignment horizontal="right"/>
    </xf>
    <xf numFmtId="0" fontId="45" fillId="0" borderId="14" xfId="0" applyFont="1" applyBorder="1" applyAlignment="1">
      <alignment horizontal="right"/>
    </xf>
    <xf numFmtId="0" fontId="46" fillId="6" borderId="0" xfId="0" applyFont="1" applyFill="1"/>
    <xf numFmtId="0" fontId="45" fillId="6" borderId="0" xfId="0" applyFont="1" applyFill="1"/>
    <xf numFmtId="0" fontId="45" fillId="0" borderId="0" xfId="0" applyFont="1"/>
    <xf numFmtId="0" fontId="44" fillId="0" borderId="0" xfId="0" applyFont="1"/>
    <xf numFmtId="3" fontId="45" fillId="0" borderId="0" xfId="0" applyNumberFormat="1" applyFont="1" applyAlignment="1">
      <alignment horizontal="right"/>
    </xf>
    <xf numFmtId="9" fontId="45" fillId="0" borderId="0" xfId="0" applyNumberFormat="1" applyFont="1" applyAlignment="1">
      <alignment horizontal="right"/>
    </xf>
    <xf numFmtId="49" fontId="45" fillId="0" borderId="0" xfId="0" applyNumberFormat="1" applyFont="1" applyAlignment="1">
      <alignment horizontal="right"/>
    </xf>
    <xf numFmtId="0" fontId="44" fillId="0" borderId="14" xfId="0" applyFont="1" applyBorder="1"/>
    <xf numFmtId="0" fontId="45" fillId="0" borderId="14" xfId="0" applyFont="1" applyBorder="1"/>
    <xf numFmtId="0" fontId="46" fillId="0" borderId="0" xfId="0" applyFont="1"/>
    <xf numFmtId="10" fontId="45" fillId="0" borderId="0" xfId="1" applyNumberFormat="1" applyFont="1"/>
    <xf numFmtId="10" fontId="45" fillId="0" borderId="0" xfId="0" applyNumberFormat="1" applyFont="1"/>
    <xf numFmtId="9" fontId="0" fillId="0" borderId="0" xfId="0" applyNumberFormat="1"/>
    <xf numFmtId="9" fontId="0" fillId="0" borderId="0" xfId="1" applyFont="1"/>
    <xf numFmtId="10" fontId="0" fillId="0" borderId="0" xfId="1" applyNumberFormat="1" applyFont="1"/>
    <xf numFmtId="0" fontId="47" fillId="0" borderId="0" xfId="0" applyFont="1"/>
    <xf numFmtId="0" fontId="12" fillId="0" borderId="0" xfId="3"/>
    <xf numFmtId="0" fontId="47" fillId="0" borderId="14" xfId="0" applyFont="1" applyBorder="1"/>
    <xf numFmtId="0" fontId="0" fillId="0" borderId="14" xfId="0" applyBorder="1"/>
    <xf numFmtId="168" fontId="41" fillId="0" borderId="0" xfId="2" applyNumberFormat="1" applyFont="1" applyFill="1"/>
    <xf numFmtId="165" fontId="27" fillId="0" borderId="0" xfId="0" applyNumberFormat="1" applyFont="1"/>
    <xf numFmtId="0" fontId="48" fillId="0" borderId="14" xfId="0" applyFont="1" applyBorder="1"/>
    <xf numFmtId="14" fontId="48" fillId="0" borderId="14" xfId="0" applyNumberFormat="1" applyFont="1" applyBorder="1"/>
    <xf numFmtId="0" fontId="2" fillId="0" borderId="0" xfId="0" applyFont="1"/>
    <xf numFmtId="0" fontId="48" fillId="0" borderId="14" xfId="0" applyFont="1" applyBorder="1" applyAlignment="1">
      <alignment horizontal="right"/>
    </xf>
    <xf numFmtId="1" fontId="48" fillId="0" borderId="14" xfId="0" applyNumberFormat="1" applyFont="1" applyBorder="1" applyAlignment="1">
      <alignment horizontal="right"/>
    </xf>
    <xf numFmtId="0" fontId="49" fillId="0" borderId="0" xfId="0" applyFont="1"/>
    <xf numFmtId="3" fontId="39" fillId="0" borderId="0" xfId="0" applyNumberFormat="1" applyFont="1"/>
    <xf numFmtId="0" fontId="2" fillId="0" borderId="0" xfId="0" applyFont="1" applyAlignment="1">
      <alignment horizontal="right"/>
    </xf>
    <xf numFmtId="0" fontId="39" fillId="0" borderId="0" xfId="0" applyFont="1"/>
    <xf numFmtId="4" fontId="39" fillId="0" borderId="0" xfId="0" applyNumberFormat="1" applyFont="1"/>
    <xf numFmtId="0" fontId="14" fillId="0" borderId="14" xfId="0" applyFont="1" applyBorder="1"/>
    <xf numFmtId="168" fontId="39" fillId="0" borderId="0" xfId="0" applyNumberFormat="1" applyFont="1"/>
    <xf numFmtId="3" fontId="49" fillId="0" borderId="0" xfId="0" applyNumberFormat="1" applyFont="1"/>
    <xf numFmtId="4" fontId="49" fillId="0" borderId="0" xfId="0" applyNumberFormat="1" applyFont="1"/>
    <xf numFmtId="3" fontId="49" fillId="0" borderId="0" xfId="0" applyNumberFormat="1" applyFont="1" applyAlignment="1">
      <alignment horizontal="right"/>
    </xf>
    <xf numFmtId="14" fontId="49" fillId="0" borderId="0" xfId="0" applyNumberFormat="1" applyFont="1"/>
    <xf numFmtId="0" fontId="39" fillId="0" borderId="0" xfId="0" quotePrefix="1" applyFont="1"/>
    <xf numFmtId="0" fontId="49" fillId="0" borderId="0" xfId="0" quotePrefix="1" applyFont="1"/>
    <xf numFmtId="0" fontId="29" fillId="7" borderId="0" xfId="0" applyFont="1" applyFill="1"/>
    <xf numFmtId="0" fontId="30" fillId="7" borderId="0" xfId="0" applyFont="1" applyFill="1"/>
    <xf numFmtId="0" fontId="29" fillId="8" borderId="0" xfId="0" applyFont="1" applyFill="1"/>
    <xf numFmtId="0" fontId="30" fillId="8" borderId="0" xfId="0" applyFont="1" applyFill="1"/>
    <xf numFmtId="166" fontId="29" fillId="8" borderId="0" xfId="0" applyNumberFormat="1" applyFont="1" applyFill="1"/>
    <xf numFmtId="166" fontId="29" fillId="8" borderId="4" xfId="0" applyNumberFormat="1" applyFont="1" applyFill="1" applyBorder="1"/>
    <xf numFmtId="167" fontId="29" fillId="8" borderId="0" xfId="0" applyNumberFormat="1" applyFont="1" applyFill="1"/>
    <xf numFmtId="0" fontId="27" fillId="9" borderId="0" xfId="0" applyFont="1" applyFill="1"/>
    <xf numFmtId="0" fontId="27" fillId="9" borderId="4" xfId="0" applyFont="1" applyFill="1" applyBorder="1"/>
    <xf numFmtId="0" fontId="51" fillId="9" borderId="0" xfId="0" applyFont="1" applyFill="1"/>
    <xf numFmtId="0" fontId="50" fillId="9" borderId="0" xfId="0" applyFont="1" applyFill="1"/>
    <xf numFmtId="0" fontId="37" fillId="9" borderId="0" xfId="0" applyFont="1" applyFill="1"/>
    <xf numFmtId="0" fontId="27" fillId="9" borderId="15" xfId="0" applyFont="1" applyFill="1" applyBorder="1"/>
    <xf numFmtId="0" fontId="36" fillId="9" borderId="0" xfId="0" applyFont="1" applyFill="1"/>
    <xf numFmtId="0" fontId="36" fillId="9" borderId="4" xfId="0" applyFont="1" applyFill="1" applyBorder="1"/>
    <xf numFmtId="0" fontId="52" fillId="0" borderId="0" xfId="0" applyFont="1"/>
    <xf numFmtId="169" fontId="52" fillId="0" borderId="0" xfId="1" applyNumberFormat="1" applyFont="1"/>
    <xf numFmtId="0" fontId="54" fillId="0" borderId="0" xfId="0" applyFont="1"/>
    <xf numFmtId="168" fontId="55" fillId="0" borderId="0" xfId="2" applyNumberFormat="1" applyFont="1" applyFill="1"/>
    <xf numFmtId="168" fontId="55" fillId="0" borderId="15" xfId="2" applyNumberFormat="1" applyFont="1" applyFill="1" applyBorder="1"/>
    <xf numFmtId="0" fontId="56" fillId="0" borderId="0" xfId="0" applyFont="1"/>
    <xf numFmtId="169" fontId="55" fillId="0" borderId="0" xfId="2" applyNumberFormat="1" applyFont="1" applyFill="1"/>
    <xf numFmtId="169" fontId="54" fillId="0" borderId="0" xfId="2" applyNumberFormat="1" applyFont="1" applyFill="1"/>
    <xf numFmtId="169" fontId="54" fillId="0" borderId="15" xfId="2" applyNumberFormat="1" applyFont="1" applyFill="1" applyBorder="1"/>
    <xf numFmtId="169" fontId="54" fillId="0" borderId="0" xfId="1" applyNumberFormat="1" applyFont="1" applyFill="1"/>
    <xf numFmtId="169" fontId="54" fillId="0" borderId="4" xfId="1" applyNumberFormat="1" applyFont="1" applyFill="1" applyBorder="1"/>
    <xf numFmtId="168" fontId="55" fillId="0" borderId="4" xfId="2" applyNumberFormat="1" applyFont="1" applyFill="1" applyBorder="1"/>
    <xf numFmtId="169" fontId="54" fillId="0" borderId="15" xfId="1" applyNumberFormat="1" applyFont="1" applyFill="1" applyBorder="1"/>
    <xf numFmtId="0" fontId="54" fillId="0" borderId="4" xfId="0" applyFont="1" applyBorder="1"/>
    <xf numFmtId="168" fontId="55" fillId="0" borderId="0" xfId="2" applyNumberFormat="1" applyFont="1" applyFill="1" applyAlignment="1">
      <alignment wrapText="1"/>
    </xf>
    <xf numFmtId="37" fontId="55" fillId="0" borderId="0" xfId="2" applyNumberFormat="1" applyFont="1" applyFill="1" applyAlignment="1">
      <alignment wrapText="1"/>
    </xf>
    <xf numFmtId="37" fontId="55" fillId="0" borderId="4" xfId="2" applyNumberFormat="1" applyFont="1" applyFill="1" applyBorder="1"/>
    <xf numFmtId="37" fontId="55" fillId="0" borderId="15" xfId="2" applyNumberFormat="1" applyFont="1" applyFill="1" applyBorder="1"/>
    <xf numFmtId="0" fontId="54" fillId="0" borderId="15" xfId="0" applyFont="1" applyBorder="1"/>
    <xf numFmtId="3" fontId="55" fillId="0" borderId="0" xfId="0" applyNumberFormat="1" applyFont="1"/>
    <xf numFmtId="3" fontId="55" fillId="0" borderId="15" xfId="0" applyNumberFormat="1" applyFont="1" applyBorder="1"/>
    <xf numFmtId="3" fontId="54" fillId="0" borderId="0" xfId="0" applyNumberFormat="1" applyFont="1"/>
    <xf numFmtId="3" fontId="54" fillId="0" borderId="15" xfId="0" applyNumberFormat="1" applyFont="1" applyBorder="1"/>
    <xf numFmtId="169" fontId="55" fillId="0" borderId="0" xfId="0" applyNumberFormat="1" applyFont="1"/>
    <xf numFmtId="169" fontId="55" fillId="0" borderId="15" xfId="0" applyNumberFormat="1" applyFont="1" applyBorder="1"/>
    <xf numFmtId="9" fontId="55" fillId="0" borderId="0" xfId="0" applyNumberFormat="1" applyFont="1"/>
    <xf numFmtId="9" fontId="55" fillId="0" borderId="15" xfId="0" applyNumberFormat="1" applyFont="1" applyBorder="1"/>
    <xf numFmtId="3" fontId="55" fillId="0" borderId="0" xfId="0" applyNumberFormat="1" applyFont="1" applyAlignment="1">
      <alignment wrapText="1"/>
    </xf>
    <xf numFmtId="3" fontId="55" fillId="0" borderId="15" xfId="0" applyNumberFormat="1" applyFont="1" applyBorder="1" applyAlignment="1">
      <alignment wrapText="1"/>
    </xf>
    <xf numFmtId="2" fontId="54" fillId="0" borderId="0" xfId="1" applyNumberFormat="1" applyFont="1" applyFill="1"/>
    <xf numFmtId="2" fontId="54" fillId="0" borderId="4" xfId="1" applyNumberFormat="1" applyFont="1" applyFill="1" applyBorder="1"/>
    <xf numFmtId="37" fontId="55" fillId="0" borderId="0" xfId="0" applyNumberFormat="1" applyFont="1"/>
    <xf numFmtId="168" fontId="53" fillId="0" borderId="0" xfId="2" applyNumberFormat="1" applyFont="1" applyFill="1"/>
    <xf numFmtId="168" fontId="53" fillId="0" borderId="15" xfId="2" applyNumberFormat="1" applyFont="1" applyFill="1" applyBorder="1"/>
    <xf numFmtId="0" fontId="14" fillId="0" borderId="0" xfId="0" applyFont="1"/>
    <xf numFmtId="168" fontId="39" fillId="0" borderId="15" xfId="2" applyNumberFormat="1" applyFont="1" applyFill="1" applyBorder="1"/>
    <xf numFmtId="169" fontId="39" fillId="0" borderId="0" xfId="2" applyNumberFormat="1" applyFont="1" applyFill="1"/>
    <xf numFmtId="169" fontId="41" fillId="0" borderId="15" xfId="2" applyNumberFormat="1" applyFont="1" applyFill="1" applyBorder="1"/>
    <xf numFmtId="168" fontId="39" fillId="0" borderId="0" xfId="2" applyNumberFormat="1" applyFont="1" applyFill="1" applyAlignment="1">
      <alignment wrapText="1"/>
    </xf>
    <xf numFmtId="168" fontId="39" fillId="0" borderId="4" xfId="2" applyNumberFormat="1" applyFont="1" applyFill="1" applyBorder="1"/>
    <xf numFmtId="0" fontId="13" fillId="8" borderId="0" xfId="0" applyFont="1" applyFill="1"/>
    <xf numFmtId="0" fontId="15" fillId="8" borderId="0" xfId="0" applyFont="1" applyFill="1"/>
    <xf numFmtId="166" fontId="13" fillId="8" borderId="0" xfId="0" applyNumberFormat="1" applyFont="1" applyFill="1"/>
    <xf numFmtId="166" fontId="13" fillId="8" borderId="15" xfId="0" applyNumberFormat="1" applyFont="1" applyFill="1" applyBorder="1"/>
    <xf numFmtId="167" fontId="13" fillId="8" borderId="0" xfId="0" applyNumberFormat="1" applyFont="1" applyFill="1"/>
    <xf numFmtId="0" fontId="13" fillId="7" borderId="0" xfId="0" applyFont="1" applyFill="1"/>
    <xf numFmtId="0" fontId="15" fillId="7" borderId="0" xfId="0" applyFont="1" applyFill="1"/>
    <xf numFmtId="166" fontId="13" fillId="7" borderId="0" xfId="0" applyNumberFormat="1" applyFont="1" applyFill="1"/>
    <xf numFmtId="166" fontId="13" fillId="7" borderId="15" xfId="0" applyNumberFormat="1" applyFont="1" applyFill="1" applyBorder="1"/>
    <xf numFmtId="167" fontId="13" fillId="7" borderId="0" xfId="0" applyNumberFormat="1" applyFont="1" applyFill="1"/>
    <xf numFmtId="0" fontId="20" fillId="7" borderId="0" xfId="0" applyFont="1" applyFill="1"/>
    <xf numFmtId="0" fontId="20" fillId="7" borderId="14" xfId="0" applyFont="1" applyFill="1" applyBorder="1"/>
    <xf numFmtId="0" fontId="25" fillId="7" borderId="0" xfId="0" applyFont="1" applyFill="1"/>
    <xf numFmtId="0" fontId="24" fillId="7" borderId="0" xfId="0" applyFont="1" applyFill="1" applyAlignment="1">
      <alignment horizontal="center"/>
    </xf>
    <xf numFmtId="0" fontId="24" fillId="7" borderId="0" xfId="0" applyFont="1" applyFill="1"/>
    <xf numFmtId="0" fontId="21" fillId="7" borderId="0" xfId="0" quotePrefix="1" applyFont="1" applyFill="1" applyAlignment="1">
      <alignment horizontal="center"/>
    </xf>
    <xf numFmtId="0" fontId="21" fillId="7" borderId="0" xfId="0" applyFont="1" applyFill="1" applyAlignment="1">
      <alignment horizontal="center"/>
    </xf>
    <xf numFmtId="0" fontId="21" fillId="7" borderId="0" xfId="0" applyFont="1" applyFill="1"/>
    <xf numFmtId="0" fontId="21" fillId="7" borderId="0" xfId="0" applyFont="1" applyFill="1" applyAlignment="1">
      <alignment horizontal="right"/>
    </xf>
    <xf numFmtId="0" fontId="20" fillId="7" borderId="20" xfId="0" applyFont="1" applyFill="1" applyBorder="1"/>
    <xf numFmtId="0" fontId="21" fillId="7" borderId="20" xfId="0" applyFont="1" applyFill="1" applyBorder="1"/>
    <xf numFmtId="0" fontId="8" fillId="7" borderId="0" xfId="0" applyFont="1" applyFill="1"/>
    <xf numFmtId="0" fontId="7" fillId="7" borderId="0" xfId="0" applyFont="1" applyFill="1"/>
    <xf numFmtId="0" fontId="6" fillId="7" borderId="0" xfId="0" applyFont="1" applyFill="1"/>
    <xf numFmtId="0" fontId="10" fillId="7" borderId="0" xfId="0" applyFont="1" applyFill="1"/>
    <xf numFmtId="0" fontId="10" fillId="7" borderId="0" xfId="0" applyFont="1" applyFill="1" applyAlignment="1">
      <alignment horizontal="right"/>
    </xf>
    <xf numFmtId="0" fontId="41" fillId="0" borderId="0" xfId="0" applyFont="1"/>
    <xf numFmtId="3" fontId="41" fillId="10" borderId="0" xfId="0" applyNumberFormat="1" applyFont="1" applyFill="1" applyAlignment="1">
      <alignment wrapText="1"/>
    </xf>
    <xf numFmtId="10" fontId="41" fillId="10" borderId="0" xfId="0" applyNumberFormat="1" applyFont="1" applyFill="1" applyAlignment="1">
      <alignment wrapText="1"/>
    </xf>
    <xf numFmtId="0" fontId="41" fillId="10" borderId="0" xfId="0" applyFont="1" applyFill="1" applyAlignment="1">
      <alignment horizontal="left" wrapText="1"/>
    </xf>
    <xf numFmtId="0" fontId="41" fillId="10" borderId="0" xfId="3" applyFont="1" applyFill="1" applyBorder="1" applyAlignment="1">
      <alignment horizontal="left" wrapText="1"/>
    </xf>
    <xf numFmtId="0" fontId="41" fillId="10" borderId="0" xfId="0" applyFont="1" applyFill="1" applyAlignment="1">
      <alignment horizontal="right" wrapText="1"/>
    </xf>
    <xf numFmtId="0" fontId="57" fillId="10" borderId="0" xfId="0" applyFont="1" applyFill="1" applyAlignment="1">
      <alignment horizontal="right" wrapText="1"/>
    </xf>
    <xf numFmtId="0" fontId="14" fillId="11" borderId="0" xfId="0" applyFont="1" applyFill="1" applyAlignment="1">
      <alignment horizontal="left"/>
    </xf>
    <xf numFmtId="0" fontId="1" fillId="0" borderId="14" xfId="0" applyFont="1" applyBorder="1"/>
    <xf numFmtId="0" fontId="1" fillId="0" borderId="0" xfId="0" applyFont="1"/>
    <xf numFmtId="0" fontId="1" fillId="9" borderId="0" xfId="0" applyFont="1" applyFill="1"/>
    <xf numFmtId="0" fontId="1" fillId="9" borderId="15" xfId="0" applyFont="1" applyFill="1" applyBorder="1"/>
    <xf numFmtId="169" fontId="1" fillId="0" borderId="0" xfId="1" applyNumberFormat="1" applyFont="1" applyFill="1"/>
    <xf numFmtId="169" fontId="1" fillId="0" borderId="15" xfId="1" applyNumberFormat="1" applyFont="1" applyFill="1" applyBorder="1"/>
    <xf numFmtId="10" fontId="1" fillId="4" borderId="0" xfId="1" applyNumberFormat="1" applyFont="1" applyFill="1"/>
    <xf numFmtId="169" fontId="1" fillId="4" borderId="0" xfId="1" applyNumberFormat="1" applyFont="1" applyFill="1"/>
    <xf numFmtId="10" fontId="1" fillId="0" borderId="0" xfId="0" applyNumberFormat="1" applyFont="1"/>
    <xf numFmtId="0" fontId="1" fillId="0" borderId="0" xfId="0" applyFont="1" applyAlignment="1">
      <alignment wrapText="1"/>
    </xf>
    <xf numFmtId="168" fontId="1" fillId="0" borderId="0" xfId="2" applyNumberFormat="1" applyFont="1" applyFill="1"/>
    <xf numFmtId="168" fontId="1" fillId="0" borderId="0" xfId="2" applyNumberFormat="1" applyFont="1"/>
    <xf numFmtId="168" fontId="1" fillId="0" borderId="0" xfId="0" applyNumberFormat="1" applyFont="1"/>
    <xf numFmtId="169" fontId="1" fillId="0" borderId="0" xfId="0" applyNumberFormat="1" applyFont="1"/>
    <xf numFmtId="179" fontId="1" fillId="0" borderId="0" xfId="0" applyNumberFormat="1" applyFont="1"/>
    <xf numFmtId="180" fontId="1" fillId="0" borderId="0" xfId="0" applyNumberFormat="1" applyFont="1"/>
    <xf numFmtId="165" fontId="1" fillId="0" borderId="0" xfId="0" applyNumberFormat="1" applyFont="1"/>
    <xf numFmtId="9" fontId="1" fillId="9" borderId="0" xfId="0" applyNumberFormat="1" applyFont="1" applyFill="1"/>
    <xf numFmtId="9" fontId="1" fillId="9" borderId="15" xfId="0" applyNumberFormat="1" applyFont="1" applyFill="1" applyBorder="1"/>
    <xf numFmtId="171" fontId="1" fillId="0" borderId="0" xfId="0" applyNumberFormat="1" applyFont="1"/>
    <xf numFmtId="9" fontId="1" fillId="0" borderId="0" xfId="0" applyNumberFormat="1" applyFont="1"/>
    <xf numFmtId="175" fontId="1" fillId="0" borderId="0" xfId="0" applyNumberFormat="1" applyFont="1" applyAlignment="1">
      <alignment horizontal="right"/>
    </xf>
    <xf numFmtId="0" fontId="1" fillId="0" borderId="0" xfId="0" applyFont="1" applyAlignment="1">
      <alignment horizontal="right"/>
    </xf>
    <xf numFmtId="10" fontId="1" fillId="0" borderId="0" xfId="0" applyNumberFormat="1" applyFont="1" applyAlignment="1">
      <alignment horizontal="right"/>
    </xf>
    <xf numFmtId="165" fontId="1" fillId="0" borderId="0" xfId="0" applyNumberFormat="1" applyFont="1" applyAlignment="1">
      <alignment horizontal="right"/>
    </xf>
    <xf numFmtId="178" fontId="1" fillId="0" borderId="0" xfId="0" applyNumberFormat="1" applyFont="1"/>
    <xf numFmtId="177" fontId="1" fillId="0" borderId="0" xfId="0" applyNumberFormat="1" applyFont="1"/>
    <xf numFmtId="176" fontId="1" fillId="0" borderId="0" xfId="0" applyNumberFormat="1" applyFont="1" applyAlignment="1">
      <alignment horizontal="right"/>
    </xf>
    <xf numFmtId="3" fontId="1" fillId="0" borderId="0" xfId="0" applyNumberFormat="1" applyFont="1"/>
    <xf numFmtId="176" fontId="1" fillId="0" borderId="0" xfId="0" quotePrefix="1" applyNumberFormat="1" applyFont="1" applyAlignment="1">
      <alignment horizontal="right"/>
    </xf>
    <xf numFmtId="4" fontId="1" fillId="0" borderId="0" xfId="0" applyNumberFormat="1" applyFont="1"/>
    <xf numFmtId="0" fontId="21" fillId="7" borderId="20" xfId="0" applyFont="1" applyFill="1" applyBorder="1" applyAlignment="1">
      <alignment horizontal="center"/>
    </xf>
    <xf numFmtId="0" fontId="21" fillId="7" borderId="14" xfId="0" applyFont="1" applyFill="1" applyBorder="1" applyAlignment="1">
      <alignment horizontal="center"/>
    </xf>
    <xf numFmtId="0" fontId="45" fillId="6" borderId="0" xfId="0" applyFont="1" applyFill="1"/>
    <xf numFmtId="0" fontId="45" fillId="0" borderId="0" xfId="0" applyFont="1"/>
    <xf numFmtId="0" fontId="45" fillId="0" borderId="0" xfId="0" applyFont="1" applyAlignment="1">
      <alignment horizontal="right"/>
    </xf>
  </cellXfs>
  <cellStyles count="4">
    <cellStyle name="Comma" xfId="2" builtinId="3"/>
    <cellStyle name="Hyperlink" xfId="3" builtinId="8"/>
    <cellStyle name="Normal" xfId="0" builtinId="0"/>
    <cellStyle name="Per cent" xfId="1" builtinId="5"/>
  </cellStyles>
  <dxfs count="0"/>
  <tableStyles count="0" defaultTableStyle="TableStyleMedium2" defaultPivotStyle="PivotStyleLight16"/>
  <colors>
    <mruColors>
      <color rgb="FF7B1314"/>
      <color rgb="FFCC092F"/>
      <color rgb="FFFFD1D1"/>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ichStyles" Target="richData/rich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5" Type="http://schemas.microsoft.com/office/2017/06/relationships/rdSupportingPropertyBag" Target="richData/rdsupportingpropertybag.xml"/><Relationship Id="rId10" Type="http://schemas.openxmlformats.org/officeDocument/2006/relationships/sheetMetadata" Target="metadata.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SupportingPropertyBagStructure" Target="richData/rdsupportingpropertybagstructure.xml"/></Relationships>
</file>

<file path=xl/charts/_rels/chart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spPr>
            <a:solidFill>
              <a:srgbClr val="7B1314"/>
            </a:solidFill>
            <a:ln>
              <a:noFill/>
            </a:ln>
            <a:effectLst/>
          </c:spPr>
          <c:invertIfNegative val="0"/>
          <c:dLbls>
            <c:dLbl>
              <c:idx val="0"/>
              <c:layout>
                <c:manualLayout>
                  <c:x val="0.1027777777777777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5D0-4436-8AB8-F7ABACA56366}"/>
                </c:ext>
              </c:extLst>
            </c:dLbl>
            <c:dLbl>
              <c:idx val="1"/>
              <c:layout>
                <c:manualLayout>
                  <c:x val="8.3333333333333329E-2"/>
                  <c:y val="-8.4875562720133283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5D0-4436-8AB8-F7ABACA56366}"/>
                </c:ext>
              </c:extLst>
            </c:dLbl>
            <c:dLbl>
              <c:idx val="2"/>
              <c:layout>
                <c:manualLayout>
                  <c:x val="8.611111111111116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5D0-4436-8AB8-F7ABACA56366}"/>
                </c:ext>
              </c:extLst>
            </c:dLbl>
            <c:dLbl>
              <c:idx val="3"/>
              <c:layout>
                <c:manualLayout>
                  <c:x val="0.10277777777777777"/>
                  <c:y val="-4.2437781360066642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5D0-4436-8AB8-F7ABACA56366}"/>
                </c:ext>
              </c:extLst>
            </c:dLbl>
            <c:dLbl>
              <c:idx val="4"/>
              <c:layout>
                <c:manualLayout>
                  <c:x val="0.20833333333333334"/>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5D0-4436-8AB8-F7ABACA5636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Figures!$H$12:$H$16</c:f>
              <c:strCache>
                <c:ptCount val="5"/>
                <c:pt idx="0">
                  <c:v>Other</c:v>
                </c:pt>
                <c:pt idx="1">
                  <c:v>TV, monitor</c:v>
                </c:pt>
                <c:pt idx="2">
                  <c:v>Display panels</c:v>
                </c:pt>
                <c:pt idx="3">
                  <c:v>Memory</c:v>
                </c:pt>
                <c:pt idx="4">
                  <c:v>Smartphone</c:v>
                </c:pt>
              </c:strCache>
            </c:strRef>
          </c:cat>
          <c:val>
            <c:numRef>
              <c:f>Figures!$L$12:$L$16</c:f>
              <c:numCache>
                <c:formatCode>0%</c:formatCode>
                <c:ptCount val="5"/>
                <c:pt idx="0">
                  <c:v>0.1731204413404985</c:v>
                </c:pt>
                <c:pt idx="1">
                  <c:v>0.11730795392616201</c:v>
                </c:pt>
                <c:pt idx="2">
                  <c:v>0.11962582850847014</c:v>
                </c:pt>
                <c:pt idx="3">
                  <c:v>0.17041072785486874</c:v>
                </c:pt>
                <c:pt idx="4">
                  <c:v>0.41953504837000061</c:v>
                </c:pt>
              </c:numCache>
            </c:numRef>
          </c:val>
          <c:extLst>
            <c:ext xmlns:c16="http://schemas.microsoft.com/office/drawing/2014/chart" uri="{C3380CC4-5D6E-409C-BE32-E72D297353CC}">
              <c16:uniqueId val="{00000000-75D0-4436-8AB8-F7ABACA56366}"/>
            </c:ext>
          </c:extLst>
        </c:ser>
        <c:ser>
          <c:idx val="1"/>
          <c:order val="1"/>
          <c:spPr>
            <a:solidFill>
              <a:schemeClr val="bg2"/>
            </a:solidFill>
            <a:ln>
              <a:noFill/>
            </a:ln>
            <a:effectLst/>
          </c:spPr>
          <c:invertIfNegative val="0"/>
          <c:cat>
            <c:strRef>
              <c:f>Figures!$H$12:$H$16</c:f>
              <c:strCache>
                <c:ptCount val="5"/>
                <c:pt idx="0">
                  <c:v>Other</c:v>
                </c:pt>
                <c:pt idx="1">
                  <c:v>TV, monitor</c:v>
                </c:pt>
                <c:pt idx="2">
                  <c:v>Display panels</c:v>
                </c:pt>
                <c:pt idx="3">
                  <c:v>Memory</c:v>
                </c:pt>
                <c:pt idx="4">
                  <c:v>Smartphone</c:v>
                </c:pt>
              </c:strCache>
            </c:strRef>
          </c:cat>
          <c:val>
            <c:numRef>
              <c:f>Figures!$M$12:$M$16</c:f>
              <c:numCache>
                <c:formatCode>0%</c:formatCode>
                <c:ptCount val="5"/>
                <c:pt idx="0">
                  <c:v>0.82687955865950147</c:v>
                </c:pt>
                <c:pt idx="1">
                  <c:v>0.882692046073838</c:v>
                </c:pt>
                <c:pt idx="2">
                  <c:v>0.88037417149152986</c:v>
                </c:pt>
                <c:pt idx="3">
                  <c:v>0.82958927214513123</c:v>
                </c:pt>
                <c:pt idx="4">
                  <c:v>0.58046495162999934</c:v>
                </c:pt>
              </c:numCache>
            </c:numRef>
          </c:val>
          <c:extLst>
            <c:ext xmlns:c16="http://schemas.microsoft.com/office/drawing/2014/chart" uri="{C3380CC4-5D6E-409C-BE32-E72D297353CC}">
              <c16:uniqueId val="{00000001-75D0-4436-8AB8-F7ABACA56366}"/>
            </c:ext>
          </c:extLst>
        </c:ser>
        <c:dLbls>
          <c:showLegendKey val="0"/>
          <c:showVal val="0"/>
          <c:showCatName val="0"/>
          <c:showSerName val="0"/>
          <c:showPercent val="0"/>
          <c:showBubbleSize val="0"/>
        </c:dLbls>
        <c:gapWidth val="36"/>
        <c:overlap val="100"/>
        <c:axId val="460821824"/>
        <c:axId val="460824736"/>
      </c:barChart>
      <c:catAx>
        <c:axId val="460821824"/>
        <c:scaling>
          <c:orientation val="minMax"/>
        </c:scaling>
        <c:delete val="0"/>
        <c:axPos val="l"/>
        <c:numFmt formatCode="General" sourceLinked="1"/>
        <c:majorTickMark val="none"/>
        <c:minorTickMark val="out"/>
        <c:tickLblPos val="nextTo"/>
        <c:spPr>
          <a:noFill/>
          <a:ln w="9525" cap="flat" cmpd="sng" algn="ctr">
            <a:solidFill>
              <a:schemeClr val="tx1">
                <a:lumMod val="15000"/>
                <a:lumOff val="85000"/>
              </a:schemeClr>
            </a:solidFill>
            <a:round/>
            <a:tailEnd w="med" len="med"/>
          </a:ln>
          <a:effectLst/>
        </c:spPr>
        <c:txPr>
          <a:bodyPr rot="-60000000" spcFirstLastPara="1" vertOverflow="ellipsis" vert="horz" wrap="square" anchor="ctr" anchorCtr="0"/>
          <a:lstStyle/>
          <a:p>
            <a:pPr>
              <a:defRPr sz="900" b="0" i="0" u="none" strike="noStrike" kern="1200" baseline="0">
                <a:solidFill>
                  <a:schemeClr val="tx1">
                    <a:lumMod val="65000"/>
                    <a:lumOff val="35000"/>
                  </a:schemeClr>
                </a:solidFill>
                <a:latin typeface="+mn-lt"/>
                <a:ea typeface="+mn-ea"/>
                <a:cs typeface="+mn-cs"/>
              </a:defRPr>
            </a:pPr>
            <a:endParaRPr lang="pt-BR"/>
          </a:p>
        </c:txPr>
        <c:crossAx val="460824736"/>
        <c:crosses val="autoZero"/>
        <c:auto val="1"/>
        <c:lblAlgn val="ctr"/>
        <c:lblOffset val="0"/>
        <c:noMultiLvlLbl val="0"/>
      </c:catAx>
      <c:valAx>
        <c:axId val="460824736"/>
        <c:scaling>
          <c:orientation val="minMax"/>
          <c:max val="1"/>
        </c:scaling>
        <c:delete val="1"/>
        <c:axPos val="b"/>
        <c:numFmt formatCode="0%" sourceLinked="1"/>
        <c:majorTickMark val="out"/>
        <c:minorTickMark val="none"/>
        <c:tickLblPos val="nextTo"/>
        <c:crossAx val="46082182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barChart>
        <c:barDir val="bar"/>
        <c:grouping val="percentStacked"/>
        <c:varyColors val="0"/>
        <c:ser>
          <c:idx val="0"/>
          <c:order val="0"/>
          <c:spPr>
            <a:solidFill>
              <a:schemeClr val="accent1"/>
            </a:solidFill>
            <a:ln>
              <a:noFill/>
            </a:ln>
            <a:effectLst/>
          </c:spPr>
          <c:invertIfNegative val="0"/>
          <c:cat>
            <c:strRef>
              <c:f>Figures!$H$23:$H$26</c:f>
              <c:strCache>
                <c:ptCount val="4"/>
                <c:pt idx="0">
                  <c:v>Harman</c:v>
                </c:pt>
                <c:pt idx="1">
                  <c:v>SDC</c:v>
                </c:pt>
                <c:pt idx="2">
                  <c:v>DS</c:v>
                </c:pt>
                <c:pt idx="3">
                  <c:v>DX</c:v>
                </c:pt>
              </c:strCache>
            </c:strRef>
          </c:cat>
          <c:val>
            <c:numRef>
              <c:f>Figures!$I$23:$I$26</c:f>
              <c:numCache>
                <c:formatCode>General</c:formatCode>
                <c:ptCount val="4"/>
                <c:pt idx="0">
                  <c:v>14388454</c:v>
                </c:pt>
                <c:pt idx="1">
                  <c:v>30975373</c:v>
                </c:pt>
                <c:pt idx="2">
                  <c:v>66594471</c:v>
                </c:pt>
                <c:pt idx="3">
                  <c:v>169992337</c:v>
                </c:pt>
              </c:numCache>
            </c:numRef>
          </c:val>
          <c:extLst>
            <c:ext xmlns:c16="http://schemas.microsoft.com/office/drawing/2014/chart" uri="{C3380CC4-5D6E-409C-BE32-E72D297353CC}">
              <c16:uniqueId val="{00000001-B6C4-4DFB-8023-442C057F743E}"/>
            </c:ext>
          </c:extLst>
        </c:ser>
        <c:ser>
          <c:idx val="1"/>
          <c:order val="1"/>
          <c:spPr>
            <a:solidFill>
              <a:schemeClr val="accent2"/>
            </a:solidFill>
            <a:ln>
              <a:noFill/>
            </a:ln>
            <a:effectLst/>
          </c:spPr>
          <c:invertIfNegative val="0"/>
          <c:cat>
            <c:strRef>
              <c:f>Figures!$H$23:$H$26</c:f>
              <c:strCache>
                <c:ptCount val="4"/>
                <c:pt idx="0">
                  <c:v>Harman</c:v>
                </c:pt>
                <c:pt idx="1">
                  <c:v>SDC</c:v>
                </c:pt>
                <c:pt idx="2">
                  <c:v>DS</c:v>
                </c:pt>
                <c:pt idx="3">
                  <c:v>DX</c:v>
                </c:pt>
              </c:strCache>
            </c:strRef>
          </c:cat>
          <c:val>
            <c:numRef>
              <c:f>Figures!$J$23:$J$26</c:f>
              <c:numCache>
                <c:formatCode>General</c:formatCode>
                <c:ptCount val="4"/>
                <c:pt idx="0">
                  <c:v>267562181</c:v>
                </c:pt>
                <c:pt idx="1">
                  <c:v>250975262</c:v>
                </c:pt>
                <c:pt idx="2">
                  <c:v>215356164</c:v>
                </c:pt>
                <c:pt idx="3">
                  <c:v>111958298</c:v>
                </c:pt>
              </c:numCache>
            </c:numRef>
          </c:val>
          <c:extLst>
            <c:ext xmlns:c16="http://schemas.microsoft.com/office/drawing/2014/chart" uri="{C3380CC4-5D6E-409C-BE32-E72D297353CC}">
              <c16:uniqueId val="{00000003-B6C4-4DFB-8023-442C057F743E}"/>
            </c:ext>
          </c:extLst>
        </c:ser>
        <c:dLbls>
          <c:showLegendKey val="0"/>
          <c:showVal val="0"/>
          <c:showCatName val="0"/>
          <c:showSerName val="0"/>
          <c:showPercent val="0"/>
          <c:showBubbleSize val="0"/>
        </c:dLbls>
        <c:gapWidth val="150"/>
        <c:overlap val="100"/>
        <c:axId val="1778692103"/>
        <c:axId val="1778694151"/>
      </c:barChart>
      <c:catAx>
        <c:axId val="177869210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778694151"/>
        <c:crosses val="autoZero"/>
        <c:auto val="1"/>
        <c:lblAlgn val="ctr"/>
        <c:lblOffset val="100"/>
        <c:noMultiLvlLbl val="0"/>
      </c:catAx>
      <c:valAx>
        <c:axId val="177869415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crossAx val="17786921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0"/>
          <c:order val="0"/>
          <c:spPr>
            <a:solidFill>
              <a:srgbClr val="305496"/>
            </a:solidFill>
            <a:ln w="25400">
              <a:noFill/>
            </a:ln>
            <a:effectLst/>
          </c:spPr>
          <c:cat>
            <c:strRef>
              <c:f>Figures!$H$31:$H$35</c:f>
              <c:strCache>
                <c:ptCount val="5"/>
                <c:pt idx="0">
                  <c:v>Bargaining Power of Buyers</c:v>
                </c:pt>
                <c:pt idx="1">
                  <c:v>Bargaining Power of Suppliers</c:v>
                </c:pt>
                <c:pt idx="2">
                  <c:v>Threat of New Entrants</c:v>
                </c:pt>
                <c:pt idx="3">
                  <c:v>Threat of Substitutes</c:v>
                </c:pt>
                <c:pt idx="4">
                  <c:v>Rivalry Among Existing Competition</c:v>
                </c:pt>
              </c:strCache>
            </c:strRef>
          </c:cat>
          <c:val>
            <c:numRef>
              <c:f>Figures!$I$31:$I$35</c:f>
              <c:numCache>
                <c:formatCode>General</c:formatCode>
                <c:ptCount val="5"/>
                <c:pt idx="0">
                  <c:v>4</c:v>
                </c:pt>
                <c:pt idx="1">
                  <c:v>3</c:v>
                </c:pt>
                <c:pt idx="2">
                  <c:v>1</c:v>
                </c:pt>
                <c:pt idx="3">
                  <c:v>3</c:v>
                </c:pt>
                <c:pt idx="4">
                  <c:v>5</c:v>
                </c:pt>
              </c:numCache>
            </c:numRef>
          </c:val>
          <c:extLst>
            <c:ext xmlns:c16="http://schemas.microsoft.com/office/drawing/2014/chart" uri="{C3380CC4-5D6E-409C-BE32-E72D297353CC}">
              <c16:uniqueId val="{00000001-D223-47D9-8BCB-378F50237C9A}"/>
            </c:ext>
          </c:extLst>
        </c:ser>
        <c:dLbls>
          <c:showLegendKey val="0"/>
          <c:showVal val="0"/>
          <c:showCatName val="0"/>
          <c:showSerName val="0"/>
          <c:showPercent val="0"/>
          <c:showBubbleSize val="0"/>
        </c:dLbls>
        <c:axId val="74167816"/>
        <c:axId val="76752904"/>
      </c:radarChart>
      <c:catAx>
        <c:axId val="74167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Arial"/>
                <a:ea typeface="Arial"/>
                <a:cs typeface="Arial"/>
              </a:defRPr>
            </a:pPr>
            <a:endParaRPr lang="pt-BR"/>
          </a:p>
        </c:txPr>
        <c:crossAx val="76752904"/>
        <c:crosses val="autoZero"/>
        <c:auto val="1"/>
        <c:lblAlgn val="ctr"/>
        <c:lblOffset val="100"/>
        <c:noMultiLvlLbl val="0"/>
      </c:catAx>
      <c:valAx>
        <c:axId val="76752904"/>
        <c:scaling>
          <c:orientation val="minMax"/>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74167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6C6B6629-3E32-4656-BF9E-15F9F8E12607}">
          <cx:data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0"/>
            <cx:dataLabel idx="0">
              <cx:txPr>
                <a:bodyPr spcFirstLastPara="1" vertOverflow="ellipsis" horzOverflow="overflow" wrap="square" lIns="0" tIns="0" rIns="0" bIns="0" anchor="ctr" anchorCtr="1"/>
                <a:lstStyle/>
                <a:p>
                  <a:pPr algn="ctr" rtl="0">
                    <a:defRPr sz="1200" baseline="0"/>
                  </a:pPr>
                  <a:r>
                    <a:rPr lang="en-US" sz="1200" b="0" i="0" u="none" strike="noStrike" baseline="0">
                      <a:solidFill>
                        <a:sysClr val="window" lastClr="FFFFFF"/>
                      </a:solidFill>
                      <a:latin typeface="Calibri" panose="020F0502020204030204"/>
                    </a:rPr>
                    <a:t>Smartphones and other</a:t>
                  </a:r>
                </a:p>
              </cx:txPr>
              <cx:visibility seriesName="0" categoryName="1" value="0"/>
            </cx:dataLabel>
            <cx:dataLabel idx="1">
              <cx:txPr>
                <a:bodyPr spcFirstLastPara="1" vertOverflow="ellipsis" horzOverflow="overflow" wrap="square" lIns="0" tIns="0" rIns="0" bIns="0" anchor="ctr" anchorCtr="1"/>
                <a:lstStyle/>
                <a:p>
                  <a:pPr algn="ctr" rtl="0">
                    <a:defRPr sz="1200" baseline="0"/>
                  </a:pPr>
                  <a:r>
                    <a:rPr lang="en-US" sz="1200" b="0" i="0" u="none" strike="noStrike" baseline="0">
                      <a:solidFill>
                        <a:sysClr val="window" lastClr="FFFFFF"/>
                      </a:solidFill>
                      <a:latin typeface="Calibri" panose="020F0502020204030204"/>
                    </a:rPr>
                    <a:t>Memory</a:t>
                  </a:r>
                </a:p>
              </cx:txPr>
              <cx:visibility seriesName="0" categoryName="1" value="0"/>
            </cx:dataLabel>
            <cx:dataLabel idx="2">
              <cx:txPr>
                <a:bodyPr spcFirstLastPara="1" vertOverflow="ellipsis" horzOverflow="overflow" wrap="square" lIns="0" tIns="0" rIns="0" bIns="0" anchor="ctr" anchorCtr="1"/>
                <a:lstStyle/>
                <a:p>
                  <a:pPr algn="ctr" rtl="0">
                    <a:defRPr sz="1200" baseline="0"/>
                  </a:pPr>
                  <a:r>
                    <a:rPr lang="en-US" sz="1200" b="0" i="0" u="none" strike="noStrike" baseline="0">
                      <a:solidFill>
                        <a:sysClr val="window" lastClr="FFFFFF"/>
                      </a:solidFill>
                      <a:latin typeface="Calibri" panose="020F0502020204030204"/>
                    </a:rPr>
                    <a:t>Display panels</a:t>
                  </a:r>
                </a:p>
              </cx:txPr>
              <cx:visibility seriesName="0" categoryName="1" value="0"/>
            </cx:dataLabel>
            <cx:dataLabel idx="3">
              <cx:txPr>
                <a:bodyPr spcFirstLastPara="1" vertOverflow="ellipsis" horzOverflow="overflow" wrap="square" lIns="0" tIns="0" rIns="0" bIns="0" anchor="ctr" anchorCtr="1"/>
                <a:lstStyle/>
                <a:p>
                  <a:pPr algn="ctr" rtl="0">
                    <a:defRPr sz="1200" baseline="0"/>
                  </a:pPr>
                  <a:r>
                    <a:rPr lang="en-US" sz="1200" b="0" i="0" u="none" strike="noStrike" baseline="0">
                      <a:solidFill>
                        <a:sysClr val="window" lastClr="FFFFFF"/>
                      </a:solidFill>
                      <a:latin typeface="Calibri" panose="020F0502020204030204"/>
                    </a:rPr>
                    <a:t>TV, monitor and other</a:t>
                  </a:r>
                </a:p>
              </cx:txPr>
              <cx:visibility seriesName="0" categoryName="1" value="0"/>
            </cx:dataLabel>
          </cx:dataLabels>
          <cx:dataId val="0"/>
          <cx:layoutPr>
            <cx:parentLabelLayout val="overlapping"/>
          </cx:layoutPr>
        </cx:series>
      </cx:plotAreaRegion>
    </cx:plotArea>
  </cx:chart>
</cx: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microsoft.com/office/2014/relationships/chartEx" Target="../charts/chartEx1.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516548</xdr:colOff>
      <xdr:row>41</xdr:row>
      <xdr:rowOff>24178</xdr:rowOff>
    </xdr:from>
    <xdr:to>
      <xdr:col>6</xdr:col>
      <xdr:colOff>21981</xdr:colOff>
      <xdr:row>50</xdr:row>
      <xdr:rowOff>73269</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7BF83D6E-DF41-4B4E-BDF1-56B7B4420EB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516548" y="5701078"/>
              <a:ext cx="4048858" cy="1763591"/>
            </a:xfrm>
            <a:prstGeom prst="rect">
              <a:avLst/>
            </a:prstGeom>
            <a:solidFill>
              <a:prstClr val="white"/>
            </a:solidFill>
            <a:ln w="1">
              <a:solidFill>
                <a:prstClr val="green"/>
              </a:solidFill>
            </a:ln>
          </xdr:spPr>
          <xdr:txBody>
            <a:bodyPr vertOverflow="clip" horzOverflow="clip"/>
            <a:lstStyle/>
            <a:p>
              <a:r>
                <a:rPr lang="en-GB"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14</xdr:col>
      <xdr:colOff>489943</xdr:colOff>
      <xdr:row>4</xdr:row>
      <xdr:rowOff>15477</xdr:rowOff>
    </xdr:from>
    <xdr:to>
      <xdr:col>19</xdr:col>
      <xdr:colOff>419696</xdr:colOff>
      <xdr:row>28</xdr:row>
      <xdr:rowOff>97631</xdr:rowOff>
    </xdr:to>
    <xdr:graphicFrame macro="">
      <xdr:nvGraphicFramePr>
        <xdr:cNvPr id="3" name="Chart 4">
          <a:extLst>
            <a:ext uri="{FF2B5EF4-FFF2-40B4-BE49-F238E27FC236}">
              <a16:creationId xmlns:a16="http://schemas.microsoft.com/office/drawing/2014/main" id="{BCE9B6A3-6D4F-4EAB-9C3D-04F5C361010B}"/>
            </a:ext>
            <a:ext uri="{147F2762-F138-4A5C-976F-8EAC2B608ADB}">
              <a16:predDERef xmlns:a16="http://schemas.microsoft.com/office/drawing/2014/main" pred="{7BF83D6E-DF41-4B4E-BDF1-56B7B4420E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485775</xdr:colOff>
      <xdr:row>29</xdr:row>
      <xdr:rowOff>38100</xdr:rowOff>
    </xdr:from>
    <xdr:to>
      <xdr:col>19</xdr:col>
      <xdr:colOff>400050</xdr:colOff>
      <xdr:row>46</xdr:row>
      <xdr:rowOff>161925</xdr:rowOff>
    </xdr:to>
    <xdr:graphicFrame macro="">
      <xdr:nvGraphicFramePr>
        <xdr:cNvPr id="10" name="Chart 3">
          <a:extLst>
            <a:ext uri="{FF2B5EF4-FFF2-40B4-BE49-F238E27FC236}">
              <a16:creationId xmlns:a16="http://schemas.microsoft.com/office/drawing/2014/main" id="{C8A7E937-0393-91DA-64E1-907C9AC2816C}"/>
            </a:ext>
            <a:ext uri="{147F2762-F138-4A5C-976F-8EAC2B608ADB}">
              <a16:predDERef xmlns:a16="http://schemas.microsoft.com/office/drawing/2014/main" pred="{BCE9B6A3-6D4F-4EAB-9C3D-04F5C36101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371475</xdr:colOff>
      <xdr:row>45</xdr:row>
      <xdr:rowOff>95250</xdr:rowOff>
    </xdr:from>
    <xdr:to>
      <xdr:col>16</xdr:col>
      <xdr:colOff>723900</xdr:colOff>
      <xdr:row>59</xdr:row>
      <xdr:rowOff>171450</xdr:rowOff>
    </xdr:to>
    <xdr:graphicFrame macro="">
      <xdr:nvGraphicFramePr>
        <xdr:cNvPr id="13" name="Chart 12">
          <a:extLst>
            <a:ext uri="{FF2B5EF4-FFF2-40B4-BE49-F238E27FC236}">
              <a16:creationId xmlns:a16="http://schemas.microsoft.com/office/drawing/2014/main" id="{CE8A0DAA-3F9E-EBE1-D983-5FC529A1F0F4}"/>
            </a:ext>
            <a:ext uri="{147F2762-F138-4A5C-976F-8EAC2B608ADB}">
              <a16:predDERef xmlns:a16="http://schemas.microsoft.com/office/drawing/2014/main" pred="{C8A7E937-0393-91DA-64E1-907C9AC281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32">
  <rv s="0">
    <v>https://www.bing.com/financeapi/forcetrigger?t=ajn83m&amp;q=XKRX%3a005930&amp;form=skydnc</v>
    <v>Learn more on Bing</v>
  </rv>
  <rv s="1">
    <v>en-US</v>
    <v>ajn83m</v>
    <v>268435456</v>
    <v>1</v>
    <v>Powered by Refinitiv</v>
    <v>0</v>
    <v>Samsung Electronics Co., Ltd. (XKRX:005930)</v>
    <v>2</v>
    <v>3</v>
    <v>Finance</v>
    <v>4</v>
    <v>112400</v>
    <v>49900</v>
    <v>1.1359999999999999</v>
    <v>-1400</v>
    <v>-1.3916999999999999E-2</v>
    <v>KRW</v>
    <v>Samsung Electronics Co Ltd is Korea-based company principally engaged in the manufacture and distribution of electronic products. The Company operates its business through four segments. The Information Technology &amp; Mobile Communications (IM) segment manufactures computers, handhold phones (HHPs), network systems, digital cameras and others. The Device Solutions (DS) segment provides semiconductor and display parts, including dynamic random access memories (DRAMs), flashes, thin film transistor-liquid crystal displays (TFT-LCDs) and others. The Consumer Electronics (CE) segment manufactures color televisions (CTVs), monitors, printers, air conditioners, refrigerators, laundry machines and others. The Harman segment manufactures headunits, infotainment, telematics, speaker, among others. The Company distributes its products within domestic market and to overseas markets.</v>
    <v>98557</v>
    <v>Korea Stock Exchange</v>
    <v>XKRX</v>
    <v>XKRX</v>
    <v>129, Samsung-Ro, Yeongtong-Gu, SUWON, GYEONGGI-DO, 16677 KR</v>
    <v>103800</v>
    <v>Computers, Phones &amp; Household Electronics</v>
    <v>Stock</v>
    <v>45967.384895833333</v>
    <v>0</v>
    <v>98800</v>
    <v>687879900000000</v>
    <v>Samsung Electronics Co., Ltd.</v>
    <v>Samsung Electronics Co., Ltd.</v>
    <v>103700</v>
    <v>20.469000000000001</v>
    <v>100600</v>
    <v>99200</v>
    <v>6735613000</v>
    <v>005930</v>
    <v>Samsung Electronics Co., Ltd. (XKRX:005930)</v>
    <v>28494232</v>
    <v>24638030</v>
    <v>1969</v>
  </rv>
  <rv s="2">
    <v>1</v>
  </rv>
  <rv s="0">
    <v>https://www.bing.com/financeapi/forcetrigger?t=a1mou2&amp;q=XNAS%3aAAPL&amp;form=skydnc</v>
    <v>Learn more on Bing</v>
  </rv>
  <rv s="1">
    <v>en-US</v>
    <v>a1mou2</v>
    <v>268435456</v>
    <v>1</v>
    <v>Powered by Refinitiv</v>
    <v>0</v>
    <v>APPLE INC. (XNAS:AAPL)</v>
    <v>2</v>
    <v>5</v>
    <v>Finance</v>
    <v>6</v>
    <v>277.32</v>
    <v>169.21010000000001</v>
    <v>1.1076999999999999</v>
    <v>0.1</v>
    <v>3.703E-4</v>
    <v>USD</v>
    <v>Apple Inc. designs, manufactures and markets smartphones, personal computers, tablets, wearables and accessories, and sells a variety of related services. Its product categories include iPhone, Mac, iPad, and Wearables, Home and Accessories. Its software platforms include iOS, iPadOS, macOS, watchOS, visionOS, and tvOS. Its services include advertising, AppleCare, cloud services, digital content and payment services. The Company operates various platforms, including the App Store, that allow customers to discover and download applications and digital content, such as books, music, video, games and podcasts. It also offers digital content through subscription-based services, including Apple Arcade, Apple Fitness+, Apple Music, Apple News+, and Apple TV+. Its products include iPhone 16 Pro, iPhone 16, iPhone 15, iPhone 14, iPhone SE, MacBook Air, MacBook Pro, iMac, Mac mini, Mac Studio, Mac Pro, iPad Pro, iPad Air, AirPods, AirPods Pro, AirPods Max, Apple TV and Apple Vision Pro.</v>
    <v>166000</v>
    <v>Nasdaq Stock Market</v>
    <v>XNAS</v>
    <v>XNAS</v>
    <v>One Apple Park Way, CUPERTINO, CA, 95014 US</v>
    <v>271.7</v>
    <v>Computers, Phones &amp; Household Electronics</v>
    <v>Stock</v>
    <v>45967.041629756248</v>
    <v>3</v>
    <v>266.93</v>
    <v>3991683189000</v>
    <v>APPLE INC.</v>
    <v>APPLE INC.</v>
    <v>268.61</v>
    <v>36.3748</v>
    <v>270.04000000000002</v>
    <v>270.14</v>
    <v>14776350000</v>
    <v>AAPL</v>
    <v>APPLE INC. (XNAS:AAPL)</v>
    <v>33177</v>
    <v>47864472</v>
    <v>1977</v>
  </rv>
  <rv s="2">
    <v>4</v>
  </rv>
  <rv s="0">
    <v>https://www.bing.com/financeapi/forcetrigger?t=a24kjc&amp;q=XNYS%3aTSM&amp;form=skydnc</v>
    <v>Learn more on Bing</v>
  </rv>
  <rv s="1">
    <v>en-US</v>
    <v>a24kjc</v>
    <v>268435456</v>
    <v>1</v>
    <v>Powered by Refinitiv</v>
    <v>0</v>
    <v>Taiwan Semiconductor Manufacturing Co., Ltd. (XNYS:TSM)</v>
    <v>2</v>
    <v>5</v>
    <v>Finance</v>
    <v>6</v>
    <v>311.36849999999998</v>
    <v>134.25</v>
    <v>1.3110999999999999</v>
    <v>-0.1</v>
    <v>-3.4009999999999997E-4</v>
    <v>USD</v>
    <v>Taiwan Semiconductor Manufacturing Co Ltd is a Taiwan-based company mainly engaged in the provision of integrated circuit manufacturing services. The integrated circuit manufacturing services include process technology, special process technology, design ecosystem support, mask technology, 3DFabricTM advanced packaging and silicon stacking technology services. The Company has completed the transfer and mass production of 5nm technology, and is engaged in the research and development of 3nm process technology and 2nm process technology. The product application range covers the entire electronic application industry, including personal computers and peripheral products, information application products, wired and wireless communication system products, servers and data centers.</v>
    <v>52045</v>
    <v>New York Stock Exchange</v>
    <v>XNYS</v>
    <v>XNYS</v>
    <v>No.8, Li-Hsin 6th Road, Hsinchu Science Park, HSINCHU, HSINCHU, 300 TW</v>
    <v>298.21850000000001</v>
    <v>Semiconductors &amp; Semiconductor Equipment</v>
    <v>Stock</v>
    <v>45967.041370010935</v>
    <v>6</v>
    <v>291.5</v>
    <v>1262448000000</v>
    <v>Taiwan Semiconductor Manufacturing Co., Ltd.</v>
    <v>Taiwan Semiconductor Manufacturing Co., Ltd.</v>
    <v>292.62</v>
    <v>29.219200000000001</v>
    <v>294.05</v>
    <v>293.95</v>
    <v>5186523000</v>
    <v>TSM</v>
    <v>Taiwan Semiconductor Manufacturing Co., Ltd. (XNYS:TSM)</v>
    <v>41272</v>
    <v>14758602</v>
    <v>1987</v>
  </rv>
  <rv s="2">
    <v>7</v>
  </rv>
  <rv s="0">
    <v>https://www.bing.com/financeapi/forcetrigger?t=a1vmf2&amp;q=XNAS%3aINTC&amp;form=skydnc</v>
    <v>Learn more on Bing</v>
  </rv>
  <rv s="1">
    <v>en-US</v>
    <v>a1vmf2</v>
    <v>268435456</v>
    <v>1</v>
    <v>Powered by Refinitiv</v>
    <v>0</v>
    <v>INTEL CORPORATION (XNAS:INTC)</v>
    <v>2</v>
    <v>5</v>
    <v>Finance</v>
    <v>6</v>
    <v>42.48</v>
    <v>17.664999999999999</v>
    <v>1.3547</v>
    <v>1.35</v>
    <v>3.6457000000000003E-2</v>
    <v>USD</v>
    <v>Intel Corporation is a global designer and manufacturer of semiconductor products. The Company operates through three segments: Intel Products, Intel Foundry, and All Other. Its Intel Products segment includes Client Computing Group (CCG), Data Center and AI (DCAI), Network and Edge (NEX). The CCG is bringing together the operating system, system architecture, hardware, and software application integration to enable PC experiences. DCAI delivers workload-optimized solutions to cloud service providers and enterprises, along with silicon devices for communications service providers, network and edge, and HPC customers. NEX helps networks and edge compute systems from fixed-function hardware to general-purpose compute, acceleration, and networking devices running cloud native software on programmable hardware. The Intel Foundry segment comprises technology development, manufacturing and foundry services. All Other segments include Altera, Mobileye, Other.</v>
    <v>108900</v>
    <v>Nasdaq Stock Market</v>
    <v>XNAS</v>
    <v>XNAS</v>
    <v>2200 Mission College Blvd, Rnb-4-151, SANTA CLARA, CA, 95054 US</v>
    <v>38.689799999999998</v>
    <v>Semiconductors &amp; Semiconductor Equipment</v>
    <v>Stock</v>
    <v>45967.041607510939</v>
    <v>9</v>
    <v>37.11</v>
    <v>182919080000</v>
    <v>INTEL CORPORATION</v>
    <v>INTEL CORPORATION</v>
    <v>37.414999999999999</v>
    <v>3617.3420000000001</v>
    <v>37.03</v>
    <v>38.380000000000003</v>
    <v>4766000000</v>
    <v>INTC</v>
    <v>INTEL CORPORATION (XNAS:INTC)</v>
    <v>177152</v>
    <v>117862481</v>
    <v>1989</v>
  </rv>
  <rv s="2">
    <v>10</v>
  </rv>
  <rv s="0">
    <v>https://www.bing.com/financeapi/forcetrigger?t=ajmjc7&amp;q=XKRX%3a000660&amp;form=skydnc</v>
    <v>Learn more on Bing</v>
  </rv>
  <rv s="1">
    <v>en-US</v>
    <v>ajmjc7</v>
    <v>268435456</v>
    <v>1</v>
    <v>Powered by Refinitiv</v>
    <v>0</v>
    <v>SK hynix Inc. (XKRX:000660)</v>
    <v>2</v>
    <v>3</v>
    <v>Finance</v>
    <v>4</v>
    <v>624000</v>
    <v>157600</v>
    <v>1.7561</v>
    <v>14000</v>
    <v>2.418E-2</v>
    <v>KRW</v>
    <v>SK Hynix Inc is a Korea-based company mainly engaged in the production and sale of semiconductor memories. The Company’s major products include dynamic random access memory (DRAM), NAND flashes, as well as multi-chip packages (MCP), among others. In addition, the Company manufactures and sells complementary metal oxide semiconductor image sensors (CISs). CISs is used in mobile phones, notebooks, tablets, medical devices, digital single lens reflex (DSLR) cameras, camcorders, automobiles, security equipments, game machines, and home appliances. The Company distributes its products within the domestic market and to overseas markets, including America, Germany, United Kingdom, Japan, Singapore, India, and China.</v>
    <v>22139</v>
    <v>Korea Stock Exchange</v>
    <v>XKRX</v>
    <v>XKRX</v>
    <v>2091, Gyeongchung-Daero, Bubal-Eup, ICHEON, GYEONGGI-DO, 17336 KR</v>
    <v>607000</v>
    <v>Semiconductors &amp; Semiconductor Equipment</v>
    <v>Stock</v>
    <v>45967.384606481479</v>
    <v>12</v>
    <v>583000</v>
    <v>426609400000000</v>
    <v>SK hynix Inc.</v>
    <v>SK hynix Inc.</v>
    <v>602000</v>
    <v>11.538500000000001</v>
    <v>579000</v>
    <v>593000</v>
    <v>728002400</v>
    <v>000660</v>
    <v>SK hynix Inc. (XKRX:000660)</v>
    <v>5186297</v>
    <v>4458620</v>
    <v>1949</v>
  </rv>
  <rv s="2">
    <v>13</v>
  </rv>
  <rv s="0">
    <v>http://en.wikipedia.org/wiki/Public_domain</v>
    <v>Public domain</v>
  </rv>
  <rv s="0">
    <v>http://en.wikipedia.org/wiki/Sony_Corporation_of_America</v>
    <v>Wikipedia</v>
  </rv>
  <rv s="3">
    <v>15</v>
    <v>16</v>
  </rv>
  <rv s="4">
    <v>12</v>
    <v>https://www.bing.com/th?id=AMMS_ae9f622f64f109cc937f5e2dec52dc40&amp;qlt=95</v>
    <v>17</v>
    <v>0</v>
    <v>https://www.bing.com/images/search?form=xlimg&amp;q=sony+corporation+of+america</v>
    <v>Image of Sony Group Corporation</v>
  </rv>
  <rv s="0">
    <v>https://www.bing.com/financeapi/forcetrigger?t=a238cw&amp;q=XNYS%3aSONY&amp;form=skydnc</v>
    <v>Learn more on Bing</v>
  </rv>
  <rv s="5">
    <v>en-US</v>
    <v>a238cw</v>
    <v>268435456</v>
    <v>1</v>
    <v>Powered by Refinitiv</v>
    <v>7</v>
    <v>Sony Group Corporation (XNYS:SONY)</v>
    <v>9</v>
    <v>10</v>
    <v>Finance</v>
    <v>11</v>
    <v>30.285</v>
    <v>17.247900000000001</v>
    <v>0.98599999999999999</v>
    <v>0.17</v>
    <v>6.0910000000000001E-3</v>
    <v>USD</v>
    <v>Sony Group Corp is a Japan-based company engaged in the games &amp; network services (G&amp;NS), music, movies, entertainment technology &amp; services (ET&amp;S), imaging &amp; sensing solutions (I&amp;SS) and other businesses. It has seven business segments. G&amp;NS segment is involved in network service business, the manufacture and sale of home video game consoles and software. The Music segment mainly includes music production, music publishing and video media platform businesses. The Movies segment mainly includes film production, television program production and media network businesses. The ET&amp;S field mainly includes the television business, audio, video business, still image, video camera business, smartphone business and Internet-related service business. The I&amp;SS segment mainly includes the image sensor business. The Financial segment is involved in the insurance business and banking business. The Other segment consists of activities such as disc manufacturing business and recording media business.</v>
    <v>112300</v>
    <v>New York Stock Exchange</v>
    <v>XNYS</v>
    <v>XNYS</v>
    <v>1-7-1, Konan, MINATO-KU, TOKYO-TO, 108-0075 JP</v>
    <v>28.12</v>
    <v>18</v>
    <v>Computers, Phones &amp; Household Electronics</v>
    <v>Stock</v>
    <v>45967.039181816406</v>
    <v>19</v>
    <v>27.875</v>
    <v>171282300000</v>
    <v>Sony Group Corporation</v>
    <v>Sony Group Corporation</v>
    <v>27.89</v>
    <v>9.7317999999999998</v>
    <v>27.91</v>
    <v>28.08</v>
    <v>6149811000</v>
    <v>SONY</v>
    <v>Sony Group Corporation (XNYS:SONY)</v>
    <v>299</v>
    <v>4186844</v>
    <v>1946</v>
  </rv>
  <rv s="2">
    <v>20</v>
  </rv>
  <rv s="0">
    <v>https://www.bing.com/financeapi/forcetrigger?t=a1y4oc&amp;q=XNAS%3aMU&amp;form=skydnc</v>
    <v>Learn more on Bing</v>
  </rv>
  <rv s="1">
    <v>en-US</v>
    <v>a1y4oc</v>
    <v>268435456</v>
    <v>1</v>
    <v>Powered by Refinitiv</v>
    <v>0</v>
    <v>MICRON TECHNOLOGY, INC. (XNAS:MU)</v>
    <v>2</v>
    <v>5</v>
    <v>Finance</v>
    <v>6</v>
    <v>239.88</v>
    <v>61.54</v>
    <v>1.5552999999999999</v>
    <v>19.47</v>
    <v>8.929999999999999E-2</v>
    <v>USD</v>
    <v>Micron Technology, Inc. provides memory and storage solutions. The Company delivers a portfolio of high-performance dynamic random-access memory (DRAM), NAND, and NOR memory and storage products through its Micron and Crucial brands. The Company's products enable advancing in artificial intelligence (AI) and compute-intensive applications. Its segments include Compute and Networking Business Unit (CNBU), Mobile Business Unit (MBU), Embedded Business Unit (EBU), and Storage Business Unit (SBU). CNBU segment includes memory products and solutions sold into the data center, PC, graphics, and networking markets. MBU segment includes memory and storage products sold into the smartphone and other mobile-device markets. EBU segment includes memory and storage products and solutions sold into the intelligent edge through the automotive, industrial, and consumer embedded markets. SBU segment includes SSDs and component-level storage solutions sold into the data center, PC, and consumer markets.</v>
    <v>53000</v>
    <v>Nasdaq Stock Market</v>
    <v>XNAS</v>
    <v>XNAS</v>
    <v>8000 S Federal Way, Po Box 6, BOISE, ID, 83716-9632 US</v>
    <v>239.88</v>
    <v>Semiconductors &amp; Semiconductor Equipment</v>
    <v>Stock</v>
    <v>45967.041635601563</v>
    <v>22</v>
    <v>224.72499999999999</v>
    <v>266585675000</v>
    <v>MICRON TECHNOLOGY, INC.</v>
    <v>MICRON TECHNOLOGY, INC.</v>
    <v>225.66499999999999</v>
    <v>31.323799999999999</v>
    <v>218.03</v>
    <v>237.5</v>
    <v>1122466000</v>
    <v>MU</v>
    <v>MICRON TECHNOLOGY, INC. (XNAS:MU)</v>
    <v>80542</v>
    <v>23845367</v>
    <v>1984</v>
  </rv>
  <rv s="2">
    <v>23</v>
  </rv>
  <rv s="0">
    <v>https://www.bing.com/financeapi/forcetrigger?t=ajpcm7&amp;q=XKRX%3a066570&amp;form=skydnc</v>
    <v>Learn more on Bing</v>
  </rv>
  <rv s="1">
    <v>en-US</v>
    <v>ajpcm7</v>
    <v>268435456</v>
    <v>1</v>
    <v>Powered by Refinitiv</v>
    <v>0</v>
    <v>LG ELECTRONICS INC. (XKRX:066570)</v>
    <v>2</v>
    <v>3</v>
    <v>Finance</v>
    <v>4</v>
    <v>96400</v>
    <v>64100</v>
    <v>1.1641999999999999</v>
    <v>4600</v>
    <v>5.2812999999999999E-2</v>
    <v>KRW</v>
    <v>LG Electronics Inc is a Korea-based company principally engaged in the manufacturing and sale of electronic products. The Company operates its business through six segments. The Home Appliance and Air Solution (H&amp;A) segment provides refrigerators, washing machines, air conditioners, microwave ovens, cleaners and others. The LG Innotek Co Ltd (Innotek) and Its Subsidiaries segment manufactures camera modules, substrate materials, motors, sensors, and light emitting diodes (LEDs). The Home Entertainment (HE) segment supplies televisions (TVs), monitors, personal computers (PCs), audios and videos. The Vehicle Component Solutions (VS) segment provides automobile parts. The Business Solutions (BS) segment provides information displays and solar panels. The Other segment involves in the water treatment, equipment manufacture business.</v>
    <v>37835</v>
    <v>Korea Stock Exchange</v>
    <v>XKRX</v>
    <v>XKRX</v>
    <v>LG Twin Tower, 128, Yeoui-daero, Yeongdeungpo-gu, SEOUL, SEOUL, 07336 KR</v>
    <v>93300</v>
    <v>Computers, Phones &amp; Household Electronics</v>
    <v>Stock</v>
    <v>45967.385312500002</v>
    <v>25</v>
    <v>88700</v>
    <v>15229200000000</v>
    <v>LG ELECTRONICS INC.</v>
    <v>LG ELECTRONICS INC.</v>
    <v>89100</v>
    <v>22.422699999999999</v>
    <v>87100</v>
    <v>91700</v>
    <v>180072400</v>
    <v>066570</v>
    <v>LG ELECTRONICS INC. (XKRX:066570)</v>
    <v>2254077</v>
    <v>798340</v>
    <v>2002</v>
  </rv>
  <rv s="2">
    <v>26</v>
  </rv>
  <rv s="0">
    <v>https://www.bing.com/financeapi/forcetrigger?t=bgnyp2&amp;q=XHKG%3a1810&amp;form=skydnc</v>
    <v>Learn more on Bing</v>
  </rv>
  <rv s="6">
    <v>en-US</v>
    <v>bgnyp2</v>
    <v>268435456</v>
    <v>1</v>
    <v>Powered by Refinitiv</v>
    <v>13</v>
    <v>XIAOMI CORPORATION (XHKG:1810)</v>
    <v>2</v>
    <v>14</v>
    <v>Finance</v>
    <v>15</v>
    <v>61.45</v>
    <v>26.6</v>
    <v>1.0402</v>
    <v>0.12</v>
    <v>0</v>
    <v>2.7700000000000003E-3</v>
    <v>0</v>
    <v>HKD</v>
    <v>Xiaomi Corp is an investment holding company primarily engaged in the research and development, and sales of smartphones, Internet of Things (IoT), and consumer products. The Company operates through two main segments. The Smartphone and Artificial Intelligence Internet of Things (AIoT) segment, which primarily sells smartphones, smart large home appliances, smart TVs, tablets, wearables and other IoT and lifestyle products, providing advertising services and Internet value-added services (including online games and fintech), hardware repair services, installation services for certain IoT products and material sales. The Smart Electric Vehicles (EV) and Other New Initiatives segment primarily engages in the sales of smart EV and other new initiatives. The Company operates in both the domestic and overseas markets.</v>
    <v>46592</v>
    <v>Hong Kong Stock Exchange</v>
    <v>XHKG</v>
    <v>XHKG</v>
    <v>Xiaomi Campus, Anningzhuang Road, Haidian District, BEIJING, BEIJING CN</v>
    <v>43.7</v>
    <v>Computers, Phones &amp; Household Electronics</v>
    <v>Stock</v>
    <v>45967.339513888888</v>
    <v>28</v>
    <v>42.92</v>
    <v>1131928000000</v>
    <v>XIAOMI CORPORATION</v>
    <v>XIAOMI CORPORATION</v>
    <v>43.62</v>
    <v>26.814800000000002</v>
    <v>43.32</v>
    <v>43.44</v>
    <v>43.44</v>
    <v>26069270000</v>
    <v>1810</v>
    <v>XIAOMI CORPORATION (XHKG:1810)</v>
    <v>122167159</v>
    <v>176395220</v>
    <v>2010</v>
  </rv>
  <rv s="2">
    <v>29</v>
  </rv>
  <rv s="7">
    <v>12</v>
    <v>Official name</v>
    <v>0</v>
  </rv>
</rvData>
</file>

<file path=xl/richData/rdrichvaluestructure.xml><?xml version="1.0" encoding="utf-8"?>
<rvStructures xmlns="http://schemas.microsoft.com/office/spreadsheetml/2017/richdata" count="8">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
    <k n="%cvi" t="r"/>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linkedentitycore">
    <k n="%EntityCulture" t="s"/>
    <k n="%EntityId" t="s"/>
    <k n="%EntityServiceId"/>
    <k n="%IsRefreshable" t="b"/>
    <k n="%ProviderInfo" t="s"/>
    <k n="_Display" t="spb"/>
    <k n="_DisplayString" t="s"/>
    <k n="_Flags" t="spb"/>
    <k n="_Format" t="spb"/>
    <k n="_Icon" t="s"/>
    <k n="_SubLabel" t="spb"/>
    <k n="52 week high"/>
    <k n="52 week low"/>
    <k n="Beta"/>
    <k n="Change"/>
    <k n="Change % (Extended hours)"/>
    <k n="Change (%)"/>
    <k n="Change (Extended hours)"/>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Price (Extended hours)"/>
    <k n="Shares outstanding"/>
    <k n="Ticker symbol" t="s"/>
    <k n="UniqueName" t="s"/>
    <k n="Volume"/>
    <k n="Volume average"/>
    <k n="Year incorporated"/>
  </s>
  <s t="_error">
    <k n="errorType" t="i"/>
    <k n="field" t="s"/>
    <k n="subType" t="i"/>
  </s>
</rvStructures>
</file>

<file path=xl/richData/rdsupportingpropertybag.xml><?xml version="1.0" encoding="utf-8"?>
<supportingPropertyBags xmlns="http://schemas.microsoft.com/office/spreadsheetml/2017/richdata2">
  <spbArrays count="3">
    <a count="42">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3">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a>
    <a count="45">
      <v t="s">%EntityServiceId</v>
      <v t="s">_Format</v>
      <v t="s">%IsRefreshable</v>
      <v t="s">%EntityCulture</v>
      <v t="s">%EntityId</v>
      <v t="s">_Icon</v>
      <v t="s">_Display</v>
      <v t="s">Name</v>
      <v t="s">_SubLabel</v>
      <v t="s">Price</v>
      <v t="s">Price (Extended hours)</v>
      <v t="s">Exchange</v>
      <v t="s">Official name</v>
      <v t="s">Last trade time</v>
      <v t="s">Ticker symbol</v>
      <v t="s">Exchange abbreviation</v>
      <v t="s">Change</v>
      <v t="s">Change (Extended hours)</v>
      <v t="s">Change (%)</v>
      <v t="s">Change % (Extended hours)</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spbArrays>
  <spbData count="16">
    <spb s="0">
      <v>0</v>
      <v>Name</v>
      <v>LearnMoreOnLink</v>
    </spb>
    <spb s="1">
      <v>0</v>
      <v>0</v>
      <v>0</v>
    </spb>
    <spb s="2">
      <v>1</v>
      <v>1</v>
      <v>1</v>
      <v>1</v>
    </spb>
    <spb s="3">
      <v>1</v>
      <v>2</v>
      <v>2</v>
      <v>1</v>
      <v>3</v>
      <v>1</v>
      <v>1</v>
      <v>1</v>
      <v>4</v>
      <v>4</v>
      <v>5</v>
      <v>6</v>
      <v>1</v>
      <v>1</v>
      <v>1</v>
      <v>4</v>
      <v>7</v>
      <v>8</v>
      <v>9</v>
      <v>4</v>
    </spb>
    <spb s="4">
      <v>Delayed 20 minutes</v>
      <v>from previous close</v>
      <v>from previous close</v>
      <v>KSE</v>
      <v>GMT</v>
    </spb>
    <spb s="3">
      <v>10</v>
      <v>2</v>
      <v>2</v>
      <v>10</v>
      <v>3</v>
      <v>10</v>
      <v>10</v>
      <v>10</v>
      <v>4</v>
      <v>4</v>
      <v>5</v>
      <v>11</v>
      <v>10</v>
      <v>10</v>
      <v>10</v>
      <v>4</v>
      <v>7</v>
      <v>8</v>
      <v>9</v>
      <v>4</v>
    </spb>
    <spb s="4">
      <v>Real-Time Nasdaq Last Sale</v>
      <v>from previous close</v>
      <v>from previous close</v>
      <v>Source: Nasdaq Last Sale</v>
      <v>GMT</v>
    </spb>
    <spb s="0">
      <v>1</v>
      <v>Name</v>
      <v>LearnMoreOnLink</v>
    </spb>
    <spb s="5">
      <v>0</v>
      <v>0</v>
    </spb>
    <spb s="6">
      <v>8</v>
      <v>1</v>
      <v>1</v>
      <v>1</v>
      <v>1</v>
    </spb>
    <spb s="7">
      <v>10</v>
      <v>2</v>
      <v>2</v>
      <v>10</v>
      <v>3</v>
      <v>10</v>
      <v>12</v>
      <v>10</v>
      <v>10</v>
      <v>4</v>
      <v>4</v>
      <v>5</v>
      <v>11</v>
      <v>10</v>
      <v>10</v>
      <v>10</v>
      <v>4</v>
      <v>7</v>
      <v>8</v>
      <v>9</v>
      <v>4</v>
    </spb>
    <spb s="4">
      <v>Delayed 15 minutes</v>
      <v>from previous close</v>
      <v>from previous close</v>
      <v>Source: Nasdaq</v>
      <v>GMT</v>
    </spb>
    <spb s="8">
      <v>Powered by Refinitiv</v>
    </spb>
    <spb s="0">
      <v>2</v>
      <v>Name</v>
      <v>LearnMoreOnLink</v>
    </spb>
    <spb s="9">
      <v>13</v>
      <v>2</v>
      <v>2</v>
      <v>13</v>
      <v>3</v>
      <v>13</v>
      <v>13</v>
      <v>13</v>
      <v>4</v>
      <v>4</v>
      <v>5</v>
      <v>14</v>
      <v>13</v>
      <v>13</v>
      <v>13</v>
      <v>4</v>
      <v>7</v>
      <v>8</v>
      <v>9</v>
      <v>4</v>
      <v>13</v>
      <v>13</v>
      <v>5</v>
    </spb>
    <spb s="10">
      <v>at close</v>
      <v>from previous close</v>
      <v>from previous close</v>
      <v>GMT</v>
      <v>Delayed 15 minutes</v>
      <v>from close</v>
      <v>from close</v>
    </spb>
  </spbData>
</supportingPropertyBags>
</file>

<file path=xl/richData/rdsupportingpropertybagstructure.xml><?xml version="1.0" encoding="utf-8"?>
<spbStructures xmlns="http://schemas.microsoft.com/office/spreadsheetml/2017/richdata2" count="11">
  <s>
    <k n="^Order" t="spba"/>
    <k n="TitleProperty" t="s"/>
    <k n="SubTitleProperty" t="s"/>
  </s>
  <s>
    <k n="ShowInCardView" t="b"/>
    <k n="ShowInDotNotation" t="b"/>
    <k n="ShowInAutoComplete" t="b"/>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ExchangeID" t="s"/>
    <k n="Last trade time" t="s"/>
  </s>
  <s>
    <k n="ShowInDotNotation" t="b"/>
    <k n="ShowInAutoComplete" t="b"/>
  </s>
  <s>
    <k n="Image" t="spb"/>
    <k n="ExchangeID" t="spb"/>
    <k n="UniqueName" t="spb"/>
    <k n="`%ProviderInfo" t="spb"/>
    <k n="LearnMoreOnLink" t="spb"/>
  </s>
  <s>
    <k n="Low" t="i"/>
    <k n="P/E" t="i"/>
    <k n="Beta" t="i"/>
    <k n="High" t="i"/>
    <k n="Name" t="i"/>
    <k n="Open" t="i"/>
    <k n="Image" t="i"/>
    <k n="Price" t="i"/>
    <k n="Change" t="i"/>
    <k n="Volume" t="i"/>
    <k n="Employees" t="i"/>
    <k n="Change (%)" t="i"/>
    <k n="Market cap" t="i"/>
    <k n="52 week low" t="i"/>
    <k n="52 week high" t="i"/>
    <k n="Previous close" t="i"/>
    <k n="Volume average" t="i"/>
    <k n="Last trade time" t="i"/>
    <k n="Year incorporated" t="i"/>
    <k n="`%EntityServiceId" t="i"/>
    <k n="Shares outstanding" t="i"/>
  </s>
  <s>
    <k n="name" t="s"/>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k n="Price (Extended hours)" t="i"/>
    <k n="Change (Extended hours)" t="i"/>
    <k n="Change % (Extended hours)" t="i"/>
  </s>
  <s>
    <k n="Price" t="s"/>
    <k n="Change" t="s"/>
    <k n="Change (%)" t="s"/>
    <k n="Last trade time" t="s"/>
    <k n="Price (Extended hours)" t="s"/>
    <k n="Change (Extended hours)" t="s"/>
    <k n="Change % (Extended hours)"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0" formatCode="General"/>
    </x:dxf>
    <x:dxf>
      <x:numFmt numFmtId="4" formatCode="#,##0.00"/>
    </x:dxf>
    <x:dxf>
      <x:numFmt numFmtId="3" formatCode="#,##0"/>
    </x:dxf>
    <x:dxf>
      <x:numFmt numFmtId="14" formatCode="0.00%"/>
    </x:dxf>
    <x:dxf>
      <x:numFmt numFmtId="27" formatCode="dd/mm/yyyy\ hh:mm"/>
    </x:dxf>
    <x:dxf>
      <x:numFmt numFmtId="1" formatCode="0"/>
    </x:dxf>
    <x:dxf>
      <x:numFmt numFmtId="2" formatCode="0.00"/>
    </x:dxf>
  </dxfs>
  <richProperties>
    <rPr n="NumberFormat" t="s"/>
    <rPr n="IsTitleField" t="b"/>
    <rPr n="IsHeroField" t="b"/>
  </richProperties>
  <richStyles>
    <rSty dxfid="0">
      <rpv i="0">_-[$₩-ko-KR]* #,##0.00_-;-[$₩-ko-KR]* #,##0.00_-;_-[$₩-ko-KR]* "-"??_-;_-@_-</rpv>
    </rSty>
    <rSty dxfid="1">
      <rpv i="0">#,##0.00</rpv>
    </rSty>
    <rSty>
      <rpv i="1">1</rpv>
    </rSty>
    <rSty dxfid="2">
      <rpv i="0">#,##0</rpv>
    </rSty>
    <rSty dxfid="3"/>
    <rSty dxfid="0">
      <rpv i="0">_-[$₩-ko-KR]* #,##0_-;-[$₩-ko-KR]* #,##0_-;_-[$₩-ko-KR]* "-"_-;_-@_-</rpv>
    </rSty>
    <rSty dxfid="4"/>
    <rSty dxfid="5">
      <rpv i="0">0</rpv>
    </rSty>
    <rSty dxfid="6">
      <rpv i="0">0.00</rpv>
    </rSty>
    <rSty dxfid="0">
      <rpv i="0">_([$$-en-US]* #,##0.00_);_([$$-en-US]* (#,##0.00);_([$$-en-US]* "-"??_);_(@_)</rpv>
    </rSty>
    <rSty dxfid="0">
      <rpv i="0">_([$$-en-US]* #,##0_);_([$$-en-US]* (#,##0);_([$$-en-US]* "-"_);_(@_)</rpv>
    </rSty>
    <rSty>
      <rpv i="2">1</rpv>
    </rSty>
    <rSty dxfid="0">
      <rpv i="0">_-[$$-en-HK]* #,##0.00_-;-[$$-en-HK]* #,##0.00_-;_-[$$-en-HK]* "-"??_-;_-@_-</rpv>
    </rSty>
    <rSty dxfid="0">
      <rpv i="0">_-[$$-en-HK]* #,##0_-;-[$$-en-HK]* #,##0_-;_-[$$-en-HK]* "-"_-;_-@_-</rpv>
    </rSty>
  </richStyles>
</richStyleSheet>
</file>

<file path=xl/theme/theme1.xml><?xml version="1.0" encoding="utf-8"?>
<a:theme xmlns:a="http://schemas.openxmlformats.org/drawingml/2006/main" name="Office Theme">
  <a:themeElements>
    <a:clrScheme name="Custom 2">
      <a:dk1>
        <a:sysClr val="windowText" lastClr="000000"/>
      </a:dk1>
      <a:lt1>
        <a:sysClr val="window" lastClr="FFFFFF"/>
      </a:lt1>
      <a:dk2>
        <a:srgbClr val="44546A"/>
      </a:dk2>
      <a:lt2>
        <a:srgbClr val="E7E6E6"/>
      </a:lt2>
      <a:accent1>
        <a:srgbClr val="4472C4"/>
      </a:accent1>
      <a:accent2>
        <a:srgbClr val="7B1314"/>
      </a:accent2>
      <a:accent3>
        <a:srgbClr val="A5A5A5"/>
      </a:accent3>
      <a:accent4>
        <a:srgbClr val="FFC000"/>
      </a:accent4>
      <a:accent5>
        <a:srgbClr val="5B9BD5"/>
      </a:accent5>
      <a:accent6>
        <a:srgbClr val="70AD47"/>
      </a:accent6>
      <a:hlink>
        <a:srgbClr val="0563C1"/>
      </a:hlink>
      <a:folHlink>
        <a:srgbClr val="7B131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gminsights.com/industry-analysis/automotive-infotainment-market" TargetMode="External"/><Relationship Id="rId1" Type="http://schemas.openxmlformats.org/officeDocument/2006/relationships/hyperlink" Target="https://apnews.com/article/samsung-ai-chips-semiconductors-nvidia-91065e73e0ad4f0d9bfa0eff711012ac?utm_source=chatgpt.co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theverge.com/2024/10/8/24265018/samsung-profit-apology-ai-memory-chips?utm_source=chatgpt.com" TargetMode="External"/><Relationship Id="rId13" Type="http://schemas.openxmlformats.org/officeDocument/2006/relationships/hyperlink" Target="https://www.reuters.com/legal/samsung-ordered-pay-118-million-infringing-netlist-patents-2024-11-22/?utm_source=chatgpt.com" TargetMode="External"/><Relationship Id="rId18" Type="http://schemas.openxmlformats.org/officeDocument/2006/relationships/hyperlink" Target="https://www.marketscreener.com/insider/BU-JIN-LEE-A0743E/" TargetMode="External"/><Relationship Id="rId3" Type="http://schemas.openxmlformats.org/officeDocument/2006/relationships/hyperlink" Target="https://www.theverge.com/2024/9/26/24255031/samsung-galaxy-s24-fe-watch-lte-tab-s10-ultra-announced?utm_source=chatgpt.com" TargetMode="External"/><Relationship Id="rId21" Type="http://schemas.openxmlformats.org/officeDocument/2006/relationships/drawing" Target="../drawings/drawing1.xml"/><Relationship Id="rId7" Type="http://schemas.openxmlformats.org/officeDocument/2006/relationships/hyperlink" Target="https://www.reuters.com/technology/samsung-elec-replaces-memory-foundry-business-heads-sweeping-reshuffle-2024-11-27/?utm_source=chatgpt.com" TargetMode="External"/><Relationship Id="rId12" Type="http://schemas.openxmlformats.org/officeDocument/2006/relationships/hyperlink" Target="https://apnews.com/article/91065e73e0ad4f0d9bfa0eff711012ac?utm_source=chatgpt.com" TargetMode="External"/><Relationship Id="rId17" Type="http://schemas.openxmlformats.org/officeDocument/2006/relationships/hyperlink" Target="https://www.marketscreener.com/insider/JAE-YONG-LEE-A073WB/" TargetMode="External"/><Relationship Id="rId2" Type="http://schemas.openxmlformats.org/officeDocument/2006/relationships/hyperlink" Target="https://news.samsung.com/us/samsung-announces-tv-audio-lineup-ces-2024/?utm_source=chatgpt.com" TargetMode="External"/><Relationship Id="rId16" Type="http://schemas.openxmlformats.org/officeDocument/2006/relationships/hyperlink" Target="https://www.marketscreener.com/insider/RA-HEE-HONG-A073W9/" TargetMode="External"/><Relationship Id="rId20" Type="http://schemas.openxmlformats.org/officeDocument/2006/relationships/printerSettings" Target="../printerSettings/printerSettings3.bin"/><Relationship Id="rId1" Type="http://schemas.openxmlformats.org/officeDocument/2006/relationships/hyperlink" Target="https://www.samsungmobilepress.com/press-releases/enter-the-new-era-of-mobile-ai-with-samsung-galaxy-s24-series/?utm_source=chatgpt.com" TargetMode="External"/><Relationship Id="rId6" Type="http://schemas.openxmlformats.org/officeDocument/2006/relationships/hyperlink" Target="https://www.ft.com/content/ac17ef21-7a9d-4366-9b9e-343489785f9b?utm_source=chatgpt.com" TargetMode="External"/><Relationship Id="rId11" Type="http://schemas.openxmlformats.org/officeDocument/2006/relationships/hyperlink" Target="https://www.reuters.com/world/asia-pacific/south-korea-prosecutors-seek-5-yr-jail-term-samsung-elec-chief-appeals-case-2024-11-25/?utm_source=chatgpt.com" TargetMode="External"/><Relationship Id="rId5" Type="http://schemas.openxmlformats.org/officeDocument/2006/relationships/hyperlink" Target="https://www.theverge.com/2024/9/26/24255031/samsung-galaxy-s24-fe-watch-lte-tab-s10-ultra-announced?utm_source=chatgpt.com" TargetMode="External"/><Relationship Id="rId15" Type="http://schemas.openxmlformats.org/officeDocument/2006/relationships/hyperlink" Target="https://www.reuters.com/technology/south-korea-roll-out-10-bln-loans-next-year-support-chip-industry-2024-11-26/?utm_source=chatgpt.com" TargetMode="External"/><Relationship Id="rId10" Type="http://schemas.openxmlformats.org/officeDocument/2006/relationships/hyperlink" Target="https://www.wsj.com/business/samsung-electronics-plans-7-billion-share-buyback-3286825a?utm_source=chatgpt.com" TargetMode="External"/><Relationship Id="rId19" Type="http://schemas.openxmlformats.org/officeDocument/2006/relationships/hyperlink" Target="https://www.marketscreener.com/insider/SEO-HYUN-LEE-A0JFOJ/" TargetMode="External"/><Relationship Id="rId4" Type="http://schemas.openxmlformats.org/officeDocument/2006/relationships/hyperlink" Target="https://www.theverge.com/2024/9/26/24255031/samsung-galaxy-s24-fe-watch-lte-tab-s10-ultra-announced?utm_source=chatgpt.com" TargetMode="External"/><Relationship Id="rId9" Type="http://schemas.openxmlformats.org/officeDocument/2006/relationships/hyperlink" Target="https://www.reuters.com/technology/samsung-elec-replaces-memory-foundry-business-heads-sweeping-reshuffle-2024-11-27/?utm_source=chatgpt.com" TargetMode="External"/><Relationship Id="rId14" Type="http://schemas.openxmlformats.org/officeDocument/2006/relationships/hyperlink" Target="https://apnews.com/article/91065e73e0ad4f0d9bfa0eff711012ac?utm_source=chatgp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94F33-B499-4203-AAF4-3E1B90B5AB51}">
  <sheetPr codeName="Sheet7">
    <pageSetUpPr autoPageBreaks="0"/>
  </sheetPr>
  <dimension ref="A2:Z123"/>
  <sheetViews>
    <sheetView showGridLines="0" tabSelected="1" topLeftCell="A48" zoomScaleNormal="100" workbookViewId="0">
      <selection activeCell="B47" sqref="B47"/>
    </sheetView>
  </sheetViews>
  <sheetFormatPr defaultRowHeight="15.75" x14ac:dyDescent="0.25"/>
  <cols>
    <col min="1" max="1" width="2.7109375" style="43" customWidth="1"/>
    <col min="2" max="2" width="61.140625" style="43" customWidth="1"/>
    <col min="3" max="3" width="16" style="43" customWidth="1"/>
    <col min="4" max="4" width="4" style="43" customWidth="1"/>
    <col min="5" max="7" width="15.28515625" style="43" customWidth="1"/>
    <col min="8" max="8" width="13" style="43" customWidth="1"/>
    <col min="9" max="9" width="15.28515625" style="43" customWidth="1"/>
    <col min="10" max="10" width="14.42578125" style="43" customWidth="1"/>
    <col min="11" max="14" width="13.85546875" style="43" bestFit="1" customWidth="1"/>
    <col min="15" max="15" width="18.140625" style="43" bestFit="1" customWidth="1"/>
    <col min="16" max="17" width="13.85546875" style="43" bestFit="1" customWidth="1"/>
    <col min="18" max="18" width="13.7109375" style="43" customWidth="1"/>
    <col min="19" max="19" width="13.42578125" style="43" customWidth="1"/>
    <col min="20" max="21" width="9.140625" style="43"/>
    <col min="22" max="24" width="36.5703125" style="43" bestFit="1" customWidth="1"/>
    <col min="25" max="25" width="12.42578125" style="43" bestFit="1" customWidth="1"/>
    <col min="26" max="16384" width="9.140625" style="43"/>
  </cols>
  <sheetData>
    <row r="2" spans="1:26" s="44" customFormat="1" ht="20.100000000000001" customHeight="1" x14ac:dyDescent="0.25">
      <c r="B2" s="45" t="str" cm="1">
        <f t="array" aca="1" ref="B2" ca="1">_FV(V4,"Official name",TRUE)</f>
        <v>Samsung Electronics Co., Ltd.</v>
      </c>
    </row>
    <row r="4" spans="1:26" x14ac:dyDescent="0.25">
      <c r="B4" s="192" t="s">
        <v>0</v>
      </c>
      <c r="C4" s="193"/>
      <c r="D4" s="193"/>
      <c r="E4" s="193"/>
      <c r="F4" s="193"/>
      <c r="G4" s="193"/>
      <c r="H4" s="193"/>
      <c r="I4" s="193"/>
      <c r="J4" s="193"/>
      <c r="K4" s="193"/>
      <c r="L4" s="193"/>
      <c r="M4" s="193"/>
      <c r="N4" s="193"/>
      <c r="O4" s="193"/>
      <c r="P4" s="193"/>
      <c r="Q4" s="193"/>
      <c r="R4" s="193"/>
      <c r="S4" s="193"/>
      <c r="T4" s="46"/>
      <c r="U4" s="46"/>
      <c r="V4" s="47" t="e" vm="1">
        <v>#VALUE!</v>
      </c>
      <c r="W4" s="46"/>
      <c r="X4" s="46"/>
      <c r="Y4" s="46"/>
      <c r="Z4" s="46"/>
    </row>
    <row r="5" spans="1:26" ht="3.95" customHeight="1" x14ac:dyDescent="0.25">
      <c r="B5" s="201"/>
      <c r="C5" s="202"/>
      <c r="D5" s="202"/>
      <c r="E5" s="202"/>
      <c r="F5" s="202"/>
      <c r="G5" s="202"/>
      <c r="H5" s="202"/>
      <c r="I5" s="202"/>
      <c r="J5" s="202"/>
      <c r="K5" s="202"/>
      <c r="L5" s="202"/>
      <c r="M5" s="202"/>
      <c r="N5" s="202"/>
      <c r="O5" s="202"/>
      <c r="P5" s="202"/>
      <c r="Q5" s="202"/>
      <c r="R5" s="202"/>
      <c r="S5" s="202"/>
      <c r="T5" s="46"/>
      <c r="U5" s="46"/>
      <c r="V5" s="46"/>
      <c r="W5" s="46"/>
      <c r="X5" s="46"/>
      <c r="Y5" s="46"/>
      <c r="Z5" s="46"/>
    </row>
    <row r="6" spans="1:26" x14ac:dyDescent="0.25">
      <c r="B6" s="48" t="s">
        <v>1</v>
      </c>
      <c r="C6" s="49"/>
      <c r="D6" s="49"/>
      <c r="E6" s="48" t="s">
        <v>2</v>
      </c>
      <c r="F6" s="49"/>
      <c r="G6" s="49"/>
      <c r="H6" s="48" t="s">
        <v>3</v>
      </c>
      <c r="J6" s="49"/>
      <c r="K6" s="48" t="s">
        <v>4</v>
      </c>
      <c r="L6" s="49"/>
      <c r="P6" s="49"/>
      <c r="Q6" s="49"/>
      <c r="V6" s="43">
        <v>5935</v>
      </c>
    </row>
    <row r="7" spans="1:26" x14ac:dyDescent="0.25">
      <c r="B7" s="49" t="s">
        <v>5</v>
      </c>
      <c r="C7" s="50">
        <v>2</v>
      </c>
      <c r="D7" s="207"/>
      <c r="E7" s="49" t="s">
        <v>6</v>
      </c>
      <c r="F7" s="51">
        <f>+I7-1%</f>
        <v>6.276761210825664E-2</v>
      </c>
      <c r="H7" s="49" t="s">
        <v>6</v>
      </c>
      <c r="I7" s="52">
        <f>+WACC!G22</f>
        <v>7.2767612108256635E-2</v>
      </c>
      <c r="J7" s="49"/>
      <c r="K7" s="49" t="s">
        <v>6</v>
      </c>
      <c r="L7" s="53">
        <f>+I7+1%</f>
        <v>8.276761210825663E-2</v>
      </c>
      <c r="P7" s="49"/>
      <c r="V7" s="43" t="s">
        <v>7</v>
      </c>
      <c r="W7" s="54" t="s">
        <v>8</v>
      </c>
      <c r="X7" s="43" t="s">
        <v>9</v>
      </c>
      <c r="Y7" s="43">
        <v>53000</v>
      </c>
    </row>
    <row r="8" spans="1:26" x14ac:dyDescent="0.25">
      <c r="B8" s="49" t="s">
        <v>10</v>
      </c>
      <c r="C8" s="50">
        <v>2</v>
      </c>
      <c r="D8" s="207"/>
      <c r="E8" s="49" t="s">
        <v>11</v>
      </c>
      <c r="F8" s="51">
        <f>+I8-0.5%</f>
        <v>3.0000000000000002E-2</v>
      </c>
      <c r="H8" s="49" t="s">
        <v>11</v>
      </c>
      <c r="I8" s="51">
        <v>3.5000000000000003E-2</v>
      </c>
      <c r="J8" s="49"/>
      <c r="K8" s="49" t="s">
        <v>11</v>
      </c>
      <c r="L8" s="51">
        <f>+I8+0.5%</f>
        <v>0.04</v>
      </c>
      <c r="P8" s="49"/>
      <c r="V8" s="43" t="s">
        <v>12</v>
      </c>
      <c r="W8" s="54" t="s">
        <v>13</v>
      </c>
      <c r="X8" s="43" t="s">
        <v>14</v>
      </c>
      <c r="Y8" s="55">
        <v>45637</v>
      </c>
    </row>
    <row r="9" spans="1:26" x14ac:dyDescent="0.25">
      <c r="B9" s="49" t="s">
        <v>6</v>
      </c>
      <c r="C9" s="50">
        <v>2</v>
      </c>
      <c r="D9" s="207"/>
      <c r="E9" s="49"/>
      <c r="G9" s="49"/>
      <c r="H9" s="49"/>
      <c r="I9" s="49"/>
      <c r="J9" s="49"/>
      <c r="K9" s="49"/>
      <c r="L9" s="49"/>
      <c r="M9" s="49"/>
      <c r="O9" s="49"/>
      <c r="P9" s="49"/>
      <c r="Q9" s="49"/>
      <c r="R9" s="49"/>
      <c r="S9" s="49"/>
      <c r="V9" s="43" t="s">
        <v>15</v>
      </c>
      <c r="W9" s="54" t="s">
        <v>16</v>
      </c>
    </row>
    <row r="10" spans="1:26" x14ac:dyDescent="0.25">
      <c r="B10" s="49" t="s">
        <v>11</v>
      </c>
      <c r="C10" s="50">
        <v>2</v>
      </c>
      <c r="D10" s="207"/>
      <c r="E10" s="49"/>
      <c r="G10" s="49"/>
      <c r="H10" s="49"/>
      <c r="I10" s="49"/>
      <c r="J10" s="49"/>
      <c r="K10" s="49"/>
      <c r="M10" s="49"/>
      <c r="O10" s="49"/>
      <c r="P10" s="49"/>
      <c r="V10" s="43" t="s">
        <v>17</v>
      </c>
      <c r="W10" s="54">
        <v>45637</v>
      </c>
    </row>
    <row r="11" spans="1:26" ht="31.5" x14ac:dyDescent="0.25">
      <c r="B11" s="49"/>
      <c r="C11" s="49"/>
      <c r="D11" s="49"/>
      <c r="E11" s="49"/>
      <c r="G11" s="49"/>
      <c r="K11" s="49"/>
      <c r="M11" s="49"/>
      <c r="P11" s="49"/>
      <c r="V11" s="56" t="s">
        <v>18</v>
      </c>
      <c r="W11" s="57" t="e" cm="1">
        <f t="array" aca="1" ref="W11" ca="1">_xludf.yearfrac(W10,W8)</f>
        <v>#NAME?</v>
      </c>
    </row>
    <row r="12" spans="1:26" x14ac:dyDescent="0.25">
      <c r="B12" s="49" t="s">
        <v>6</v>
      </c>
      <c r="C12" s="58">
        <f>CHOOSE(C9,F7,I7,L7)</f>
        <v>7.2767612108256635E-2</v>
      </c>
      <c r="D12" s="207"/>
      <c r="E12" s="49"/>
      <c r="G12" s="49"/>
      <c r="K12" s="49"/>
      <c r="P12" s="49"/>
    </row>
    <row r="13" spans="1:26" x14ac:dyDescent="0.25">
      <c r="B13" s="49" t="s">
        <v>11</v>
      </c>
      <c r="C13" s="58">
        <f>CHOOSE(C10,F8,I8,L8)</f>
        <v>3.5000000000000003E-2</v>
      </c>
      <c r="D13" s="207"/>
      <c r="E13" s="49"/>
      <c r="G13" s="59"/>
      <c r="H13" s="49"/>
      <c r="I13" s="49"/>
      <c r="J13" s="49"/>
      <c r="K13" s="49"/>
      <c r="L13" s="49"/>
      <c r="M13" s="49"/>
      <c r="O13" s="49"/>
      <c r="P13" s="49"/>
      <c r="Q13" s="49"/>
      <c r="R13" s="49"/>
      <c r="S13" s="49"/>
    </row>
    <row r="14" spans="1:26" x14ac:dyDescent="0.25">
      <c r="B14" s="60" t="s">
        <v>19</v>
      </c>
    </row>
    <row r="15" spans="1:26" x14ac:dyDescent="0.25">
      <c r="A15" s="43" t="s">
        <v>20</v>
      </c>
      <c r="B15" s="194" t="s">
        <v>21</v>
      </c>
      <c r="C15" s="195"/>
      <c r="D15" s="195"/>
      <c r="E15" s="196">
        <v>2021</v>
      </c>
      <c r="F15" s="196">
        <f>+E15+1</f>
        <v>2022</v>
      </c>
      <c r="G15" s="197">
        <f>+F15+1</f>
        <v>2023</v>
      </c>
      <c r="H15" s="198">
        <f t="shared" ref="H15:L15" si="0">+G15+1</f>
        <v>2024</v>
      </c>
      <c r="I15" s="198">
        <f t="shared" si="0"/>
        <v>2025</v>
      </c>
      <c r="J15" s="198">
        <f t="shared" si="0"/>
        <v>2026</v>
      </c>
      <c r="K15" s="198">
        <f>+J15+1</f>
        <v>2027</v>
      </c>
      <c r="L15" s="198">
        <f t="shared" si="0"/>
        <v>2028</v>
      </c>
      <c r="O15" s="61"/>
      <c r="P15" s="61"/>
      <c r="Q15" s="61"/>
      <c r="R15" s="61"/>
      <c r="S15" s="61"/>
      <c r="T15" s="46"/>
      <c r="U15" s="46"/>
      <c r="V15" s="46"/>
      <c r="W15" s="46"/>
      <c r="X15" s="46"/>
      <c r="Y15" s="46"/>
      <c r="Z15" s="46"/>
    </row>
    <row r="16" spans="1:26" ht="3.95" customHeight="1" x14ac:dyDescent="0.25">
      <c r="B16" s="199"/>
      <c r="C16" s="199"/>
      <c r="D16" s="199"/>
      <c r="E16" s="199"/>
      <c r="F16" s="199"/>
      <c r="G16" s="200"/>
      <c r="H16" s="199"/>
      <c r="I16" s="199"/>
      <c r="J16" s="199"/>
      <c r="K16" s="199"/>
      <c r="L16" s="199"/>
    </row>
    <row r="17" spans="2:23" x14ac:dyDescent="0.25">
      <c r="B17" s="209" t="s">
        <v>5</v>
      </c>
      <c r="C17" s="209"/>
      <c r="D17" s="209"/>
      <c r="E17" s="210">
        <v>279604</v>
      </c>
      <c r="F17" s="210">
        <v>302231</v>
      </c>
      <c r="G17" s="211">
        <v>258935</v>
      </c>
      <c r="H17" s="62">
        <f>'DCF Support'!G6</f>
        <v>306324</v>
      </c>
      <c r="I17" s="62">
        <f>'DCF Support'!H6</f>
        <v>358294.62400000001</v>
      </c>
      <c r="J17" s="62">
        <f>'DCF Support'!I6</f>
        <v>394523.74393599998</v>
      </c>
      <c r="K17" s="62">
        <f>'DCF Support'!J6</f>
        <v>431162.05650790397</v>
      </c>
      <c r="L17" s="62">
        <f>'DCF Support'!K6</f>
        <v>469086.06147480983</v>
      </c>
      <c r="O17" s="63"/>
      <c r="P17" s="63"/>
      <c r="Q17" s="63"/>
      <c r="R17" s="63"/>
      <c r="S17" s="63"/>
    </row>
    <row r="18" spans="2:23" x14ac:dyDescent="0.25">
      <c r="B18" s="212" t="s">
        <v>22</v>
      </c>
      <c r="C18" s="209"/>
      <c r="D18" s="209"/>
      <c r="E18" s="213">
        <v>0.18099999999999999</v>
      </c>
      <c r="F18" s="214">
        <f>+(F17-E17)/E17</f>
        <v>8.092516559133632E-2</v>
      </c>
      <c r="G18" s="215">
        <f t="shared" ref="G18:L18" si="1">+(G17-F17)/F17</f>
        <v>-0.14325466282413121</v>
      </c>
      <c r="H18" s="64">
        <f>+(H17-G17)/G17</f>
        <v>0.18301504238515456</v>
      </c>
      <c r="I18" s="64">
        <f t="shared" si="1"/>
        <v>0.16965900158002642</v>
      </c>
      <c r="J18" s="64">
        <f t="shared" si="1"/>
        <v>0.10111544385326857</v>
      </c>
      <c r="K18" s="64">
        <f t="shared" si="1"/>
        <v>9.2867192748346941E-2</v>
      </c>
      <c r="L18" s="64">
        <f t="shared" si="1"/>
        <v>8.7957658598399074E-2</v>
      </c>
      <c r="O18" s="65"/>
      <c r="P18" s="65"/>
      <c r="Q18" s="65"/>
      <c r="R18" s="65"/>
      <c r="S18" s="65"/>
      <c r="V18" s="43" t="s">
        <v>23</v>
      </c>
      <c r="W18" s="57">
        <f>-(4480835/8426687)</f>
        <v>-0.53174337672682037</v>
      </c>
    </row>
    <row r="19" spans="2:23" ht="3.75" customHeight="1" x14ac:dyDescent="0.25">
      <c r="B19" s="212"/>
      <c r="C19" s="209"/>
      <c r="D19" s="209"/>
      <c r="E19" s="216"/>
      <c r="F19" s="216"/>
      <c r="G19" s="217"/>
      <c r="H19" s="66"/>
      <c r="I19" s="66"/>
      <c r="J19" s="66"/>
      <c r="K19" s="66"/>
      <c r="L19" s="66"/>
      <c r="O19" s="65"/>
      <c r="P19" s="65"/>
      <c r="Q19" s="65"/>
      <c r="R19" s="65"/>
      <c r="S19" s="65"/>
      <c r="W19" s="57"/>
    </row>
    <row r="20" spans="2:23" x14ac:dyDescent="0.25">
      <c r="B20" s="209" t="s">
        <v>24</v>
      </c>
      <c r="C20" s="209"/>
      <c r="D20" s="209"/>
      <c r="E20" s="210">
        <v>166411</v>
      </c>
      <c r="F20" s="210">
        <v>190042</v>
      </c>
      <c r="G20" s="218">
        <v>180389</v>
      </c>
      <c r="H20" s="67">
        <f>+H21*H17</f>
        <v>196110.807504189</v>
      </c>
      <c r="I20" s="67">
        <f>+I21*I17</f>
        <v>234762.01446417137</v>
      </c>
      <c r="J20" s="67">
        <f>+J21*J17</f>
        <v>261974.96735343372</v>
      </c>
      <c r="K20" s="67">
        <f>+K21*K17</f>
        <v>281614.37481392844</v>
      </c>
      <c r="L20" s="67">
        <f>+L21*L17</f>
        <v>308408.60812779784</v>
      </c>
      <c r="O20" s="65"/>
      <c r="P20" s="65"/>
      <c r="Q20" s="65"/>
      <c r="R20" s="65"/>
      <c r="S20" s="65"/>
      <c r="W20" s="57"/>
    </row>
    <row r="21" spans="2:23" x14ac:dyDescent="0.25">
      <c r="B21" s="212" t="s">
        <v>25</v>
      </c>
      <c r="C21" s="209"/>
      <c r="D21" s="209"/>
      <c r="E21" s="216">
        <f>+E20/E17</f>
        <v>0.59516673581207713</v>
      </c>
      <c r="F21" s="216">
        <f>+F20/F17</f>
        <v>0.62879717831724735</v>
      </c>
      <c r="G21" s="219">
        <f>+G20/G17</f>
        <v>0.69665746229748782</v>
      </c>
      <c r="H21" s="66">
        <f>AVERAGE(E21:G21)</f>
        <v>0.64020712547560421</v>
      </c>
      <c r="I21" s="68">
        <f>AVERAGE(F21:H21)</f>
        <v>0.65522058869677979</v>
      </c>
      <c r="J21" s="68">
        <f>AVERAGE(G21:I21)</f>
        <v>0.66402839215662401</v>
      </c>
      <c r="K21" s="68">
        <f>AVERAGE(H21:J21)</f>
        <v>0.65315203544300271</v>
      </c>
      <c r="L21" s="68">
        <f>AVERAGE(I21:K21)</f>
        <v>0.65746700543213554</v>
      </c>
      <c r="O21" s="65"/>
      <c r="P21" s="65"/>
      <c r="Q21" s="65"/>
      <c r="R21" s="65"/>
      <c r="S21" s="65"/>
      <c r="W21" s="57"/>
    </row>
    <row r="22" spans="2:23" ht="3.75" customHeight="1" x14ac:dyDescent="0.25">
      <c r="B22" s="209"/>
      <c r="C22" s="209"/>
      <c r="D22" s="209"/>
      <c r="E22" s="209"/>
      <c r="F22" s="209"/>
      <c r="G22" s="220"/>
      <c r="H22" s="49"/>
      <c r="I22" s="49"/>
      <c r="J22" s="49"/>
      <c r="K22" s="49"/>
      <c r="L22" s="49"/>
      <c r="O22" s="49"/>
      <c r="P22" s="49"/>
      <c r="Q22" s="49"/>
      <c r="R22" s="49"/>
      <c r="S22" s="49"/>
    </row>
    <row r="23" spans="2:23" ht="14.25" customHeight="1" x14ac:dyDescent="0.25">
      <c r="B23" s="209" t="s">
        <v>10</v>
      </c>
      <c r="C23" s="209"/>
      <c r="D23" s="209"/>
      <c r="E23" s="221">
        <f>(51633856+2205695-2055971-729614)/1000</f>
        <v>51053.966</v>
      </c>
      <c r="F23" s="210">
        <f>(43376630+1962071-1790176-1090643)/1000</f>
        <v>42457.881999999998</v>
      </c>
      <c r="G23" s="218">
        <f>(6566976+1180448-1083327-887550)/1000</f>
        <v>5776.5469999999996</v>
      </c>
      <c r="H23" s="62">
        <f>+'DCF Support'!G15+'DCF Support'!G26+'DCF Support'!G40+'DCF Support'!G54</f>
        <v>37236</v>
      </c>
      <c r="I23" s="62">
        <f>+'DCF Support'!H15+'DCF Support'!H26+'DCF Support'!H40+'DCF Support'!H54</f>
        <v>47753.506159999997</v>
      </c>
      <c r="J23" s="62">
        <f>+'DCF Support'!I15+'DCF Support'!I26+'DCF Support'!I40+'DCF Support'!I54</f>
        <v>56948.269338176004</v>
      </c>
      <c r="K23" s="62">
        <f>+'DCF Support'!J15+'DCF Support'!J26+'DCF Support'!J40+'DCF Support'!J54</f>
        <v>68272.704449927158</v>
      </c>
      <c r="L23" s="62">
        <f>+'DCF Support'!K15+'DCF Support'!K26+'DCF Support'!K40+'DCF Support'!K54</f>
        <v>76713.849947029317</v>
      </c>
      <c r="N23" s="69"/>
      <c r="O23" s="63"/>
      <c r="P23" s="63"/>
      <c r="Q23" s="63"/>
      <c r="R23" s="63"/>
      <c r="S23" s="63"/>
    </row>
    <row r="24" spans="2:23" x14ac:dyDescent="0.25">
      <c r="B24" s="212" t="s">
        <v>26</v>
      </c>
      <c r="C24" s="209"/>
      <c r="D24" s="209"/>
      <c r="E24" s="216">
        <f>+E23/E$17</f>
        <v>0.18259383270625598</v>
      </c>
      <c r="F24" s="216">
        <f>+F23/F$17</f>
        <v>0.14048155880766697</v>
      </c>
      <c r="G24" s="217">
        <f>+G23/G$17</f>
        <v>2.2308869021182922E-2</v>
      </c>
      <c r="H24" s="66">
        <v>0.1183</v>
      </c>
      <c r="I24" s="66">
        <v>0.14230000000000001</v>
      </c>
      <c r="J24" s="66">
        <v>0.15590000000000001</v>
      </c>
      <c r="K24" s="70">
        <v>0.12</v>
      </c>
      <c r="L24" s="70">
        <v>0.12</v>
      </c>
      <c r="O24" s="70"/>
      <c r="P24" s="70"/>
      <c r="Q24" s="70"/>
      <c r="R24" s="70"/>
      <c r="S24" s="70"/>
    </row>
    <row r="25" spans="2:23" ht="3.75" customHeight="1" x14ac:dyDescent="0.25">
      <c r="B25" s="212"/>
      <c r="C25" s="209"/>
      <c r="D25" s="209"/>
      <c r="E25" s="216"/>
      <c r="F25" s="216"/>
      <c r="G25" s="217"/>
      <c r="H25" s="66"/>
      <c r="I25" s="66"/>
      <c r="J25" s="66"/>
      <c r="K25" s="66"/>
      <c r="L25" s="66"/>
      <c r="O25" s="49"/>
      <c r="P25" s="49"/>
      <c r="Q25" s="49"/>
      <c r="R25" s="49"/>
      <c r="S25" s="49"/>
    </row>
    <row r="26" spans="2:23" x14ac:dyDescent="0.25">
      <c r="B26" s="212" t="s">
        <v>27</v>
      </c>
      <c r="C26" s="209"/>
      <c r="D26" s="209"/>
      <c r="E26" s="222">
        <v>1414</v>
      </c>
      <c r="F26" s="222">
        <v>3135</v>
      </c>
      <c r="G26" s="223">
        <v>4552</v>
      </c>
      <c r="H26" s="63">
        <f>+H27*H52</f>
        <v>3346.069364607366</v>
      </c>
      <c r="I26" s="63">
        <f>(I39+I52)*I27</f>
        <v>4666.1051483892124</v>
      </c>
      <c r="J26" s="63">
        <f>(J39+J52)*J27</f>
        <v>5461.010609900969</v>
      </c>
      <c r="K26" s="63">
        <f>(K39+K52)*K27</f>
        <v>5430.9790336230972</v>
      </c>
      <c r="L26" s="63">
        <f>(L39+L52)*L27</f>
        <v>6170.2441739442656</v>
      </c>
      <c r="O26" s="63"/>
      <c r="P26" s="63"/>
      <c r="Q26" s="63"/>
      <c r="R26" s="63"/>
      <c r="S26" s="63"/>
    </row>
    <row r="27" spans="2:23" x14ac:dyDescent="0.25">
      <c r="B27" s="212" t="s">
        <v>28</v>
      </c>
      <c r="C27" s="209"/>
      <c r="D27" s="209"/>
      <c r="E27" s="216">
        <f>+E26/(E52)</f>
        <v>5.7896245342505016E-2</v>
      </c>
      <c r="F27" s="216">
        <f>+F26/(F52)</f>
        <v>0.13230081026333559</v>
      </c>
      <c r="G27" s="219">
        <f>+G26/(G52)</f>
        <v>0.22011605415860735</v>
      </c>
      <c r="H27" s="68">
        <f>AVERAGE(E27:G27)</f>
        <v>0.13677103658814932</v>
      </c>
      <c r="I27" s="68">
        <f>AVERAGE(F27:H27)</f>
        <v>0.16306263367003077</v>
      </c>
      <c r="J27" s="68">
        <f>AVERAGE(G27:I27)</f>
        <v>0.17331657480559581</v>
      </c>
      <c r="K27" s="68">
        <f>AVERAGE(H27:J27)</f>
        <v>0.15771674835459196</v>
      </c>
      <c r="L27" s="68">
        <f>AVERAGE(I27:K27)</f>
        <v>0.16469865227673952</v>
      </c>
      <c r="O27" s="71"/>
      <c r="P27" s="71"/>
      <c r="Q27" s="71"/>
      <c r="R27" s="71"/>
      <c r="S27" s="71"/>
    </row>
    <row r="28" spans="2:23" ht="3.75" customHeight="1" x14ac:dyDescent="0.25">
      <c r="B28" s="212"/>
      <c r="C28" s="209"/>
      <c r="D28" s="209"/>
      <c r="E28" s="216"/>
      <c r="F28" s="216"/>
      <c r="G28" s="219"/>
      <c r="H28" s="72"/>
      <c r="I28" s="72"/>
      <c r="J28" s="72"/>
      <c r="K28" s="72"/>
      <c r="L28" s="72"/>
      <c r="O28" s="71"/>
      <c r="P28" s="71"/>
      <c r="Q28" s="71"/>
      <c r="R28" s="71"/>
      <c r="S28" s="71"/>
    </row>
    <row r="29" spans="2:23" x14ac:dyDescent="0.25">
      <c r="B29" s="212" t="s">
        <v>29</v>
      </c>
      <c r="C29" s="209"/>
      <c r="D29" s="209"/>
      <c r="E29" s="222">
        <v>-432</v>
      </c>
      <c r="F29" s="222">
        <v>-763</v>
      </c>
      <c r="G29" s="224">
        <v>-930</v>
      </c>
      <c r="H29" s="73">
        <f>H30*H61</f>
        <v>-1178.482601284484</v>
      </c>
      <c r="I29" s="73">
        <f>J30*I61</f>
        <v>-1428.6770829481534</v>
      </c>
      <c r="J29" s="73">
        <f>J30*J61</f>
        <v>-1638.3417329325528</v>
      </c>
      <c r="K29" s="73">
        <f>K30*K61</f>
        <v>-1834.0434078009739</v>
      </c>
      <c r="L29" s="73">
        <f>L30*L61</f>
        <v>-2111.6011636198805</v>
      </c>
      <c r="M29" s="71"/>
      <c r="O29" s="71"/>
      <c r="P29" s="71"/>
      <c r="Q29" s="71"/>
      <c r="R29" s="71"/>
      <c r="S29" s="71"/>
    </row>
    <row r="30" spans="2:23" x14ac:dyDescent="0.25">
      <c r="B30" s="212" t="s">
        <v>30</v>
      </c>
      <c r="C30" s="209"/>
      <c r="D30" s="209"/>
      <c r="E30" s="216">
        <f>+E29/E61</f>
        <v>-2.3488282962474911E-2</v>
      </c>
      <c r="F30" s="216">
        <f>+F29/F61</f>
        <v>-7.3839362322105681E-2</v>
      </c>
      <c r="G30" s="219">
        <f>+G29/G61</f>
        <v>-7.33094833147616E-2</v>
      </c>
      <c r="H30" s="71">
        <f>AVERAGE(E30:G30)</f>
        <v>-5.6879042866447405E-2</v>
      </c>
      <c r="I30" s="71">
        <f>AVERAGE(F30:H30)</f>
        <v>-6.8009296167771557E-2</v>
      </c>
      <c r="J30" s="71">
        <f>AVERAGE(G30:I30)</f>
        <v>-6.6065940782993535E-2</v>
      </c>
      <c r="K30" s="71">
        <f>AVERAGE(H30:J30)</f>
        <v>-6.3651426605737499E-2</v>
      </c>
      <c r="L30" s="71">
        <f>AVERAGE(I30:K30)</f>
        <v>-6.590888785216753E-2</v>
      </c>
      <c r="O30" s="71"/>
      <c r="P30" s="71"/>
      <c r="Q30" s="71"/>
      <c r="R30" s="71"/>
      <c r="S30" s="71"/>
    </row>
    <row r="31" spans="2:23" ht="3.75" customHeight="1" x14ac:dyDescent="0.25">
      <c r="B31" s="212"/>
      <c r="C31" s="209"/>
      <c r="D31" s="209"/>
      <c r="E31" s="216"/>
      <c r="F31" s="216"/>
      <c r="G31" s="219"/>
      <c r="H31" s="66"/>
      <c r="I31" s="66"/>
      <c r="J31" s="66"/>
      <c r="K31" s="66"/>
      <c r="L31" s="66"/>
      <c r="O31" s="49"/>
      <c r="P31" s="49"/>
      <c r="Q31" s="49"/>
      <c r="R31" s="49"/>
      <c r="S31" s="49"/>
    </row>
    <row r="32" spans="2:23" x14ac:dyDescent="0.25">
      <c r="B32" s="212" t="s">
        <v>31</v>
      </c>
      <c r="C32" s="209"/>
      <c r="D32" s="209"/>
      <c r="E32" s="210">
        <f>+E23+E26</f>
        <v>52467.966</v>
      </c>
      <c r="F32" s="210">
        <f>+F23+F26</f>
        <v>45592.881999999998</v>
      </c>
      <c r="G32" s="211">
        <f>+G23+G26+G29</f>
        <v>9398.5469999999987</v>
      </c>
      <c r="H32" s="74">
        <f>+H23+H26+H29</f>
        <v>39403.586763322877</v>
      </c>
      <c r="I32" s="74">
        <f t="shared" ref="I32:L32" si="2">+I23+I26+I29</f>
        <v>50990.934225441059</v>
      </c>
      <c r="J32" s="74">
        <f t="shared" si="2"/>
        <v>60770.938215144422</v>
      </c>
      <c r="K32" s="74">
        <f t="shared" si="2"/>
        <v>71869.640075749281</v>
      </c>
      <c r="L32" s="74">
        <f t="shared" si="2"/>
        <v>80772.492957353694</v>
      </c>
      <c r="O32" s="63"/>
      <c r="P32" s="63"/>
      <c r="Q32" s="63"/>
      <c r="R32" s="63"/>
      <c r="S32" s="63"/>
    </row>
    <row r="33" spans="2:19" ht="3.75" customHeight="1" x14ac:dyDescent="0.25">
      <c r="B33" s="212"/>
      <c r="C33" s="209"/>
      <c r="D33" s="209"/>
      <c r="E33" s="209"/>
      <c r="F33" s="209"/>
      <c r="G33" s="225"/>
      <c r="H33" s="49"/>
      <c r="I33" s="49"/>
      <c r="J33" s="49"/>
      <c r="K33" s="49"/>
      <c r="L33" s="49"/>
      <c r="O33" s="49"/>
      <c r="P33" s="49"/>
      <c r="Q33" s="49"/>
      <c r="R33" s="49"/>
      <c r="S33" s="49"/>
    </row>
    <row r="34" spans="2:19" x14ac:dyDescent="0.25">
      <c r="B34" s="209" t="s">
        <v>32</v>
      </c>
      <c r="C34" s="209"/>
      <c r="D34" s="209"/>
      <c r="E34" s="210">
        <v>-13444</v>
      </c>
      <c r="F34" s="210">
        <v>9214</v>
      </c>
      <c r="G34" s="211">
        <v>4481</v>
      </c>
      <c r="H34" s="74">
        <f>+H35*H32</f>
        <v>-1970.1793381661439</v>
      </c>
      <c r="I34" s="74">
        <f t="shared" ref="I34:L34" si="3">+I35*I32</f>
        <v>-10198.186845088212</v>
      </c>
      <c r="J34" s="74">
        <f t="shared" si="3"/>
        <v>-12154.187643028885</v>
      </c>
      <c r="K34" s="74">
        <f t="shared" si="3"/>
        <v>-14373.928015149857</v>
      </c>
      <c r="L34" s="74">
        <f t="shared" si="3"/>
        <v>-16154.498591470739</v>
      </c>
      <c r="O34" s="63"/>
      <c r="P34" s="63"/>
      <c r="Q34" s="63"/>
      <c r="R34" s="63"/>
      <c r="S34" s="63"/>
    </row>
    <row r="35" spans="2:19" x14ac:dyDescent="0.25">
      <c r="B35" s="212" t="s">
        <v>33</v>
      </c>
      <c r="C35" s="209"/>
      <c r="D35" s="209"/>
      <c r="E35" s="216">
        <f>E34/E$32</f>
        <v>-0.25623253624887993</v>
      </c>
      <c r="F35" s="216">
        <f>F34/F$32</f>
        <v>0.20209294950909223</v>
      </c>
      <c r="G35" s="219">
        <f>G34/G$32</f>
        <v>0.47677582502912425</v>
      </c>
      <c r="H35" s="66">
        <v>-0.05</v>
      </c>
      <c r="I35" s="66">
        <v>-0.2</v>
      </c>
      <c r="J35" s="66">
        <v>-0.2</v>
      </c>
      <c r="K35" s="66">
        <v>-0.2</v>
      </c>
      <c r="L35" s="66">
        <v>-0.2</v>
      </c>
      <c r="O35" s="65"/>
      <c r="P35" s="65"/>
      <c r="Q35" s="65"/>
      <c r="R35" s="65"/>
      <c r="S35" s="65"/>
    </row>
    <row r="36" spans="2:19" ht="3.75" customHeight="1" x14ac:dyDescent="0.25">
      <c r="B36" s="212"/>
      <c r="C36" s="209"/>
      <c r="D36" s="209"/>
      <c r="E36" s="209"/>
      <c r="F36" s="209"/>
      <c r="G36" s="220"/>
    </row>
    <row r="37" spans="2:19" x14ac:dyDescent="0.25">
      <c r="B37" s="194" t="s">
        <v>34</v>
      </c>
      <c r="C37" s="195"/>
      <c r="D37" s="195"/>
      <c r="E37" s="196">
        <f t="shared" ref="E37:L37" si="4">E15</f>
        <v>2021</v>
      </c>
      <c r="F37" s="196">
        <f t="shared" si="4"/>
        <v>2022</v>
      </c>
      <c r="G37" s="197">
        <f t="shared" si="4"/>
        <v>2023</v>
      </c>
      <c r="H37" s="198">
        <f t="shared" si="4"/>
        <v>2024</v>
      </c>
      <c r="I37" s="198">
        <f t="shared" si="4"/>
        <v>2025</v>
      </c>
      <c r="J37" s="198">
        <f t="shared" si="4"/>
        <v>2026</v>
      </c>
      <c r="K37" s="198">
        <f t="shared" si="4"/>
        <v>2027</v>
      </c>
      <c r="L37" s="198">
        <f t="shared" si="4"/>
        <v>2028</v>
      </c>
      <c r="O37" s="61"/>
      <c r="P37" s="61"/>
      <c r="Q37" s="61"/>
      <c r="R37" s="61"/>
      <c r="S37" s="61"/>
    </row>
    <row r="38" spans="2:19" ht="3.95" customHeight="1" x14ac:dyDescent="0.25">
      <c r="B38" s="203"/>
      <c r="C38" s="199"/>
      <c r="D38" s="199"/>
      <c r="E38" s="199"/>
      <c r="F38" s="199"/>
      <c r="G38" s="204"/>
      <c r="H38" s="199"/>
      <c r="I38" s="199"/>
      <c r="J38" s="199"/>
      <c r="K38" s="199"/>
      <c r="L38" s="199"/>
    </row>
    <row r="39" spans="2:19" x14ac:dyDescent="0.25">
      <c r="B39" s="209" t="s">
        <v>35</v>
      </c>
      <c r="C39" s="209"/>
      <c r="D39" s="209"/>
      <c r="E39" s="226">
        <v>124150</v>
      </c>
      <c r="F39" s="226">
        <v>115227</v>
      </c>
      <c r="G39" s="227">
        <v>92407</v>
      </c>
      <c r="H39" s="75"/>
      <c r="I39" s="75"/>
      <c r="J39" s="75"/>
      <c r="K39" s="75"/>
      <c r="L39" s="75"/>
      <c r="O39" s="75"/>
      <c r="P39" s="75"/>
      <c r="Q39" s="75"/>
      <c r="R39" s="75"/>
      <c r="S39" s="75"/>
    </row>
    <row r="40" spans="2:19" ht="3.75" customHeight="1" x14ac:dyDescent="0.25">
      <c r="B40" s="209"/>
      <c r="C40" s="209"/>
      <c r="D40" s="209"/>
      <c r="E40" s="226"/>
      <c r="F40" s="226"/>
      <c r="G40" s="227"/>
      <c r="I40" s="75"/>
      <c r="J40" s="75"/>
      <c r="K40" s="75"/>
      <c r="L40" s="75"/>
      <c r="O40" s="75"/>
      <c r="P40" s="75"/>
      <c r="Q40" s="75"/>
      <c r="R40" s="75"/>
      <c r="S40" s="75"/>
    </row>
    <row r="41" spans="2:19" x14ac:dyDescent="0.25">
      <c r="B41" s="209" t="s">
        <v>36</v>
      </c>
      <c r="C41" s="209"/>
      <c r="D41" s="209"/>
      <c r="E41" s="226">
        <v>45211</v>
      </c>
      <c r="F41" s="226">
        <v>41871</v>
      </c>
      <c r="G41" s="227">
        <v>43281</v>
      </c>
      <c r="H41" s="75">
        <f>+H42*H17/365</f>
        <v>47723.882919315074</v>
      </c>
      <c r="I41" s="75">
        <f>+I42*I17/365</f>
        <v>55820.669246928148</v>
      </c>
      <c r="J41" s="75">
        <f>+J42*J17/365</f>
        <v>61465.000994017792</v>
      </c>
      <c r="K41" s="75">
        <f>+K42*K17/365</f>
        <v>67173.083088606581</v>
      </c>
      <c r="L41" s="75">
        <f>+L42*L17/365</f>
        <v>73081.470197916118</v>
      </c>
      <c r="O41" s="75"/>
      <c r="P41" s="75"/>
      <c r="Q41" s="75"/>
      <c r="R41" s="75"/>
      <c r="S41" s="75"/>
    </row>
    <row r="42" spans="2:19" x14ac:dyDescent="0.25">
      <c r="B42" s="212" t="s">
        <v>37</v>
      </c>
      <c r="C42" s="209"/>
      <c r="D42" s="209"/>
      <c r="E42" s="228">
        <f>+E41/E17*365</f>
        <v>59.019237922204255</v>
      </c>
      <c r="F42" s="228">
        <f>+F41/F17*365</f>
        <v>50.567000076100733</v>
      </c>
      <c r="G42" s="229">
        <f>+G41/G17*365</f>
        <v>61.00977079189758</v>
      </c>
      <c r="H42" s="75">
        <f>AVERAGE(E42:G42)</f>
        <v>56.865336263400856</v>
      </c>
      <c r="I42" s="75">
        <f>H42</f>
        <v>56.865336263400856</v>
      </c>
      <c r="J42" s="75">
        <f>I42</f>
        <v>56.865336263400856</v>
      </c>
      <c r="K42" s="75">
        <f>J42</f>
        <v>56.865336263400856</v>
      </c>
      <c r="L42" s="75">
        <f>K42</f>
        <v>56.865336263400856</v>
      </c>
      <c r="O42" s="75"/>
      <c r="P42" s="75"/>
      <c r="Q42" s="75"/>
      <c r="R42" s="75"/>
      <c r="S42" s="75"/>
    </row>
    <row r="43" spans="2:19" ht="3.75" customHeight="1" x14ac:dyDescent="0.25">
      <c r="B43" s="209"/>
      <c r="C43" s="209"/>
      <c r="D43" s="209"/>
      <c r="E43" s="226"/>
      <c r="F43" s="226"/>
      <c r="G43" s="227"/>
      <c r="H43" s="75"/>
      <c r="I43" s="75"/>
      <c r="J43" s="75"/>
      <c r="K43" s="75"/>
      <c r="L43" s="75"/>
      <c r="O43" s="75"/>
      <c r="P43" s="75"/>
      <c r="Q43" s="75"/>
      <c r="R43" s="75"/>
      <c r="S43" s="75"/>
    </row>
    <row r="44" spans="2:19" x14ac:dyDescent="0.25">
      <c r="B44" s="209" t="s">
        <v>38</v>
      </c>
      <c r="C44" s="209"/>
      <c r="D44" s="209"/>
      <c r="E44" s="226">
        <v>41384</v>
      </c>
      <c r="F44" s="226">
        <v>52188</v>
      </c>
      <c r="G44" s="227">
        <v>51626</v>
      </c>
      <c r="H44" s="75">
        <f>+H45*H20/365</f>
        <v>52916.649846713517</v>
      </c>
      <c r="I44" s="75">
        <f>+I45*I20/365</f>
        <v>63345.918946584803</v>
      </c>
      <c r="J44" s="75">
        <f>+J45*J20/365</f>
        <v>70688.799829401265</v>
      </c>
      <c r="K44" s="75">
        <f>+K45*K20/365</f>
        <v>75988.108220458351</v>
      </c>
      <c r="L44" s="75">
        <f>+L45*L20/365</f>
        <v>83218.005849383713</v>
      </c>
      <c r="O44" s="75"/>
      <c r="P44" s="75"/>
      <c r="Q44" s="75"/>
      <c r="R44" s="75"/>
      <c r="S44" s="75"/>
    </row>
    <row r="45" spans="2:19" x14ac:dyDescent="0.25">
      <c r="B45" s="212" t="s">
        <v>39</v>
      </c>
      <c r="C45" s="209"/>
      <c r="D45" s="209"/>
      <c r="E45" s="228">
        <f>+E44/E20*365</f>
        <v>90.770201489084258</v>
      </c>
      <c r="F45" s="228">
        <f>+F44/F20*365</f>
        <v>100.23373780532724</v>
      </c>
      <c r="G45" s="229">
        <f>+G44/G20*365</f>
        <v>104.46030522925456</v>
      </c>
      <c r="H45" s="75">
        <f>AVERAGE(E45:G45)</f>
        <v>98.488081507888694</v>
      </c>
      <c r="I45" s="75">
        <f>H45</f>
        <v>98.488081507888694</v>
      </c>
      <c r="J45" s="75">
        <f>I45</f>
        <v>98.488081507888694</v>
      </c>
      <c r="K45" s="75">
        <f>J45</f>
        <v>98.488081507888694</v>
      </c>
      <c r="L45" s="75">
        <f>K45</f>
        <v>98.488081507888694</v>
      </c>
      <c r="O45" s="75"/>
      <c r="P45" s="75"/>
      <c r="Q45" s="75"/>
      <c r="R45" s="75"/>
      <c r="S45" s="75"/>
    </row>
    <row r="46" spans="2:19" ht="3.75" customHeight="1" x14ac:dyDescent="0.25">
      <c r="B46" s="209"/>
      <c r="C46" s="209"/>
      <c r="D46" s="209"/>
      <c r="E46" s="226"/>
      <c r="F46" s="226"/>
      <c r="G46" s="227"/>
      <c r="H46" s="75"/>
      <c r="I46" s="75"/>
      <c r="J46" s="75"/>
      <c r="K46" s="75"/>
      <c r="L46" s="75"/>
      <c r="O46" s="75"/>
      <c r="P46" s="75"/>
      <c r="Q46" s="75"/>
      <c r="R46" s="75"/>
      <c r="S46" s="75"/>
    </row>
    <row r="47" spans="2:19" x14ac:dyDescent="0.25">
      <c r="B47" s="209" t="s">
        <v>40</v>
      </c>
      <c r="C47" s="209"/>
      <c r="D47" s="209"/>
      <c r="E47" s="226">
        <f>2336+5082</f>
        <v>7418</v>
      </c>
      <c r="F47" s="226">
        <f>2868+6317</f>
        <v>9185</v>
      </c>
      <c r="G47" s="227">
        <f>3366+5257</f>
        <v>8623</v>
      </c>
      <c r="H47" s="75">
        <f>+H48*H17</f>
        <v>9212.4731353599727</v>
      </c>
      <c r="I47" s="75">
        <f>+I48*I17</f>
        <v>10775.45212958796</v>
      </c>
      <c r="J47" s="75">
        <f>+J48*J17</f>
        <v>11865.016754390896</v>
      </c>
      <c r="K47" s="75">
        <f>+K48*K17</f>
        <v>12966.88755228328</v>
      </c>
      <c r="L47" s="75">
        <f>+L48*L17</f>
        <v>14107.424620690845</v>
      </c>
      <c r="O47" s="75"/>
      <c r="P47" s="75"/>
      <c r="Q47" s="75"/>
      <c r="R47" s="75"/>
      <c r="S47" s="75"/>
    </row>
    <row r="48" spans="2:19" x14ac:dyDescent="0.25">
      <c r="B48" s="212" t="s">
        <v>25</v>
      </c>
      <c r="C48" s="209"/>
      <c r="D48" s="209"/>
      <c r="E48" s="230">
        <f>+E47/E$17</f>
        <v>2.6530378678416618E-2</v>
      </c>
      <c r="F48" s="230">
        <f>+F47/F$17</f>
        <v>3.0390661447700598E-2</v>
      </c>
      <c r="G48" s="231">
        <f>+G47/G$17</f>
        <v>3.3301793886496608E-2</v>
      </c>
      <c r="H48" s="69">
        <f>AVERAGE(E48:G48)</f>
        <v>3.0074278004204608E-2</v>
      </c>
      <c r="I48" s="69">
        <f>H48</f>
        <v>3.0074278004204608E-2</v>
      </c>
      <c r="J48" s="69">
        <f t="shared" ref="J48:L48" si="5">I48</f>
        <v>3.0074278004204608E-2</v>
      </c>
      <c r="K48" s="69">
        <f t="shared" si="5"/>
        <v>3.0074278004204608E-2</v>
      </c>
      <c r="L48" s="69">
        <f t="shared" si="5"/>
        <v>3.0074278004204608E-2</v>
      </c>
      <c r="O48" s="75"/>
      <c r="P48" s="75"/>
      <c r="Q48" s="75"/>
      <c r="R48" s="75"/>
      <c r="S48" s="75"/>
    </row>
    <row r="49" spans="1:26" ht="3.75" customHeight="1" x14ac:dyDescent="0.25">
      <c r="B49" s="209"/>
      <c r="C49" s="209"/>
      <c r="D49" s="209"/>
      <c r="E49" s="226"/>
      <c r="F49" s="226"/>
      <c r="G49" s="227"/>
      <c r="H49" s="75"/>
      <c r="I49" s="75"/>
      <c r="J49" s="75"/>
      <c r="K49" s="75"/>
      <c r="L49" s="75"/>
      <c r="O49" s="75"/>
      <c r="P49" s="75"/>
      <c r="Q49" s="75"/>
      <c r="R49" s="75"/>
      <c r="S49" s="75"/>
    </row>
    <row r="50" spans="1:26" x14ac:dyDescent="0.25">
      <c r="B50" s="209" t="s">
        <v>41</v>
      </c>
      <c r="C50" s="209"/>
      <c r="D50" s="209"/>
      <c r="E50" s="226">
        <f>(149928539+20236244)/1000</f>
        <v>170164.783</v>
      </c>
      <c r="F50" s="226">
        <f>(168045388+20217754)/1000</f>
        <v>188263.14199999999</v>
      </c>
      <c r="G50" s="227">
        <f>(187256262+22741862)/1000</f>
        <v>209998.12400000001</v>
      </c>
      <c r="H50" s="75">
        <f>+G50-H69-G66</f>
        <v>230850.32187032606</v>
      </c>
      <c r="I50" s="75">
        <f>+H50-I69-H66</f>
        <v>257184.08898023338</v>
      </c>
      <c r="J50" s="75">
        <f>+I50-J69-I66</f>
        <v>289299.52735091426</v>
      </c>
      <c r="K50" s="75">
        <f>+J50-K69-J66</f>
        <v>320433.69374287559</v>
      </c>
      <c r="L50" s="75">
        <f>+K50-L69-K66</f>
        <v>353420.94681324984</v>
      </c>
      <c r="O50" s="75"/>
      <c r="P50" s="75"/>
      <c r="Q50" s="75"/>
      <c r="R50" s="75"/>
      <c r="S50" s="75"/>
    </row>
    <row r="51" spans="1:26" ht="3.75" customHeight="1" x14ac:dyDescent="0.25">
      <c r="B51" s="209"/>
      <c r="C51" s="209"/>
      <c r="D51" s="209"/>
      <c r="E51" s="226"/>
      <c r="F51" s="226"/>
      <c r="G51" s="227"/>
      <c r="H51" s="75"/>
      <c r="I51" s="75"/>
      <c r="J51" s="75"/>
      <c r="K51" s="75"/>
      <c r="L51" s="75"/>
      <c r="O51" s="75"/>
      <c r="P51" s="75"/>
      <c r="Q51" s="75"/>
      <c r="S51" s="75"/>
    </row>
    <row r="52" spans="1:26" x14ac:dyDescent="0.25">
      <c r="B52" s="212" t="s">
        <v>42</v>
      </c>
      <c r="C52" s="209"/>
      <c r="D52" s="209"/>
      <c r="E52" s="226">
        <v>24423</v>
      </c>
      <c r="F52" s="226">
        <v>23696</v>
      </c>
      <c r="G52" s="227">
        <v>20680</v>
      </c>
      <c r="H52" s="75">
        <f>G52*(1+H53)</f>
        <v>24464.751076524997</v>
      </c>
      <c r="I52" s="75">
        <f t="shared" ref="I52:L52" si="6">H52*(1+I53)</f>
        <v>28615.416318072104</v>
      </c>
      <c r="J52" s="75">
        <f t="shared" si="6"/>
        <v>31508.876840120032</v>
      </c>
      <c r="K52" s="75">
        <f t="shared" si="6"/>
        <v>34435.017778915382</v>
      </c>
      <c r="L52" s="75">
        <f t="shared" si="6"/>
        <v>37463.841316543017</v>
      </c>
      <c r="O52" s="75"/>
      <c r="P52" s="75"/>
      <c r="Q52" s="75"/>
      <c r="R52" s="75"/>
      <c r="S52" s="75"/>
    </row>
    <row r="53" spans="1:26" x14ac:dyDescent="0.25">
      <c r="B53" s="212" t="s">
        <v>43</v>
      </c>
      <c r="C53" s="209"/>
      <c r="D53" s="209"/>
      <c r="E53" s="226"/>
      <c r="F53" s="230"/>
      <c r="G53" s="231"/>
      <c r="H53" s="76">
        <f>'DCF Support'!G7</f>
        <v>0.18301504238515456</v>
      </c>
      <c r="I53" s="76">
        <f>'DCF Support'!H7</f>
        <v>0.16965900158002642</v>
      </c>
      <c r="J53" s="76">
        <f>'DCF Support'!I7</f>
        <v>0.10111544385326857</v>
      </c>
      <c r="K53" s="76">
        <f>'DCF Support'!J7</f>
        <v>9.2867192748346941E-2</v>
      </c>
      <c r="L53" s="76">
        <f>'DCF Support'!K7</f>
        <v>8.7957658598399074E-2</v>
      </c>
      <c r="O53" s="75"/>
      <c r="P53" s="75"/>
      <c r="Q53" s="75"/>
      <c r="R53" s="75"/>
      <c r="S53" s="75"/>
    </row>
    <row r="54" spans="1:26" ht="3.75" customHeight="1" x14ac:dyDescent="0.25">
      <c r="B54" s="209"/>
      <c r="C54" s="209"/>
      <c r="D54" s="209"/>
      <c r="E54" s="226"/>
      <c r="F54" s="226"/>
      <c r="G54" s="227"/>
      <c r="H54" s="75"/>
      <c r="I54" s="75"/>
      <c r="J54" s="75"/>
      <c r="K54" s="75"/>
      <c r="L54" s="75"/>
      <c r="O54" s="75"/>
      <c r="P54" s="75"/>
      <c r="Q54" s="75"/>
      <c r="R54" s="75"/>
      <c r="S54" s="75"/>
    </row>
    <row r="55" spans="1:26" x14ac:dyDescent="0.25">
      <c r="B55" s="209" t="s">
        <v>44</v>
      </c>
      <c r="C55" s="209"/>
      <c r="D55" s="209"/>
      <c r="E55" s="226">
        <v>13453</v>
      </c>
      <c r="F55" s="226">
        <v>10645</v>
      </c>
      <c r="G55" s="227">
        <v>11320</v>
      </c>
      <c r="H55" s="75">
        <f>+H56*H20/365</f>
        <v>13048.508276609336</v>
      </c>
      <c r="I55" s="75">
        <f>+I56*I20/365</f>
        <v>15436.406430520858</v>
      </c>
      <c r="J55" s="75">
        <f>+J56*J20/365</f>
        <v>17225.751278033997</v>
      </c>
      <c r="K55" s="75">
        <f>+K56*K20/365</f>
        <v>18517.109576806251</v>
      </c>
      <c r="L55" s="75">
        <f>+L56*L20/365</f>
        <v>20278.922178266159</v>
      </c>
      <c r="O55" s="75"/>
      <c r="P55" s="75"/>
      <c r="Q55" s="75"/>
      <c r="R55" s="75"/>
      <c r="S55" s="75"/>
    </row>
    <row r="56" spans="1:26" x14ac:dyDescent="0.25">
      <c r="B56" s="212" t="s">
        <v>45</v>
      </c>
      <c r="C56" s="209"/>
      <c r="D56" s="209"/>
      <c r="E56" s="226">
        <f>+E55/E$20*365</f>
        <v>29.507334250740637</v>
      </c>
      <c r="F56" s="226">
        <f>+F55/F$20*365</f>
        <v>20.445085823133834</v>
      </c>
      <c r="G56" s="227">
        <f>+G55/G$20*365</f>
        <v>22.90494431478638</v>
      </c>
      <c r="H56" s="75">
        <f>AVERAGE(E56:G56)</f>
        <v>24.28578812955362</v>
      </c>
      <c r="I56" s="77">
        <v>24</v>
      </c>
      <c r="J56" s="77">
        <v>24</v>
      </c>
      <c r="K56" s="77">
        <v>24</v>
      </c>
      <c r="L56" s="77">
        <v>24</v>
      </c>
      <c r="O56" s="75"/>
      <c r="P56" s="75"/>
      <c r="Q56" s="75"/>
      <c r="R56" s="75"/>
      <c r="S56" s="75"/>
    </row>
    <row r="57" spans="1:26" ht="3.75" customHeight="1" x14ac:dyDescent="0.25">
      <c r="B57" s="209"/>
      <c r="C57" s="209"/>
      <c r="D57" s="209"/>
      <c r="E57" s="226"/>
      <c r="F57" s="226"/>
      <c r="G57" s="227"/>
      <c r="H57" s="75"/>
      <c r="I57" s="75"/>
      <c r="J57" s="75"/>
      <c r="K57" s="75"/>
      <c r="L57" s="75"/>
      <c r="O57" s="75"/>
      <c r="P57" s="75"/>
      <c r="Q57" s="75"/>
      <c r="R57" s="75"/>
      <c r="S57" s="75"/>
    </row>
    <row r="58" spans="1:26" x14ac:dyDescent="0.25">
      <c r="B58" s="209" t="s">
        <v>46</v>
      </c>
      <c r="C58" s="209"/>
      <c r="D58" s="209"/>
      <c r="E58" s="226">
        <f>27928+24969</f>
        <v>52897</v>
      </c>
      <c r="F58" s="226">
        <f>29211+28002</f>
        <v>57213</v>
      </c>
      <c r="G58" s="227">
        <f>26013+26604</f>
        <v>52617</v>
      </c>
      <c r="H58" s="75">
        <f>+H59*H17</f>
        <v>59395.516962520313</v>
      </c>
      <c r="I58" s="75">
        <f>+I59*I17</f>
        <v>69472.501068711033</v>
      </c>
      <c r="J58" s="75">
        <f>+J59*J17</f>
        <v>76497.243849870429</v>
      </c>
      <c r="K58" s="75">
        <f>+K59*K17</f>
        <v>83601.328139193633</v>
      </c>
      <c r="L58" s="75">
        <f>+L59*L17</f>
        <v>90954.70521803356</v>
      </c>
      <c r="O58" s="75"/>
      <c r="P58" s="75"/>
      <c r="Q58" s="75"/>
      <c r="R58" s="75"/>
      <c r="S58" s="75"/>
    </row>
    <row r="59" spans="1:26" x14ac:dyDescent="0.25">
      <c r="B59" s="212" t="s">
        <v>26</v>
      </c>
      <c r="C59" s="209"/>
      <c r="D59" s="209"/>
      <c r="E59" s="232">
        <f>+E58/E$17</f>
        <v>0.18918541937883579</v>
      </c>
      <c r="F59" s="232">
        <f>+F58/F$17</f>
        <v>0.18930222247221495</v>
      </c>
      <c r="G59" s="233">
        <f>+G58/G$17</f>
        <v>0.20320543765809954</v>
      </c>
      <c r="H59" s="78">
        <f>+AVERAGE(E59:G59)</f>
        <v>0.19389769316971675</v>
      </c>
      <c r="I59" s="78">
        <f>H59</f>
        <v>0.19389769316971675</v>
      </c>
      <c r="J59" s="78">
        <f>I59</f>
        <v>0.19389769316971675</v>
      </c>
      <c r="K59" s="78">
        <f>J59</f>
        <v>0.19389769316971675</v>
      </c>
      <c r="L59" s="78">
        <f>K59</f>
        <v>0.19389769316971675</v>
      </c>
      <c r="O59" s="75"/>
      <c r="P59" s="75"/>
      <c r="Q59" s="75"/>
      <c r="R59" s="75"/>
      <c r="S59" s="75"/>
    </row>
    <row r="60" spans="1:26" ht="3.75" customHeight="1" x14ac:dyDescent="0.25">
      <c r="B60" s="209"/>
      <c r="C60" s="209"/>
      <c r="D60" s="209"/>
      <c r="E60" s="209"/>
      <c r="F60" s="209"/>
      <c r="G60" s="225"/>
    </row>
    <row r="61" spans="1:26" ht="14.25" customHeight="1" x14ac:dyDescent="0.25">
      <c r="B61" s="209" t="s">
        <v>47</v>
      </c>
      <c r="C61" s="209"/>
      <c r="D61" s="209"/>
      <c r="E61" s="234">
        <f>(13687793+1329968+2866156+508232)/1000</f>
        <v>18392.149000000001</v>
      </c>
      <c r="F61" s="234">
        <f>(5147315+1089162+536093+3560672)/1000</f>
        <v>10333.242</v>
      </c>
      <c r="G61" s="235">
        <f>(7114601+1308875+537618+3724850)/1000</f>
        <v>12685.944</v>
      </c>
      <c r="H61" s="75">
        <f>+H62*(H66+H23)</f>
        <v>20719.100425996505</v>
      </c>
      <c r="I61" s="75">
        <f>+I62*(I66+I23)</f>
        <v>21625.016854613816</v>
      </c>
      <c r="J61" s="75">
        <f>+J62*(J66+J23)</f>
        <v>24798.583256598216</v>
      </c>
      <c r="K61" s="75">
        <f>+K62*(K66+K23)</f>
        <v>28813.861771884534</v>
      </c>
      <c r="L61" s="75">
        <f>+L62*(L66+L23)</f>
        <v>32038.185325720628</v>
      </c>
      <c r="O61" s="75"/>
      <c r="P61" s="75"/>
      <c r="Q61" s="75"/>
      <c r="R61" s="75"/>
      <c r="S61" s="75"/>
    </row>
    <row r="62" spans="1:26" x14ac:dyDescent="0.25">
      <c r="B62" s="212" t="s">
        <v>48</v>
      </c>
      <c r="C62" s="209"/>
      <c r="D62" s="209"/>
      <c r="E62" s="236">
        <f>+E61/(E23+E66)</f>
        <v>0.21561386729657797</v>
      </c>
      <c r="F62" s="236">
        <f>+F61/(F23+F66)</f>
        <v>0.12668636624380386</v>
      </c>
      <c r="G62" s="237">
        <f>+G61/(G23+G66)</f>
        <v>0.28544233609595154</v>
      </c>
      <c r="H62" s="79">
        <v>0.25</v>
      </c>
      <c r="I62" s="79">
        <v>0.22</v>
      </c>
      <c r="J62" s="79">
        <v>0.22</v>
      </c>
      <c r="K62" s="79">
        <v>0.22</v>
      </c>
      <c r="L62" s="79">
        <v>0.22</v>
      </c>
      <c r="O62" s="65"/>
      <c r="P62" s="65"/>
      <c r="Q62" s="65"/>
      <c r="R62" s="65"/>
      <c r="S62" s="65"/>
    </row>
    <row r="63" spans="1:26" ht="3.75" customHeight="1" x14ac:dyDescent="0.25">
      <c r="B63" s="212"/>
      <c r="C63" s="209"/>
      <c r="D63" s="209"/>
      <c r="E63" s="209"/>
      <c r="F63" s="209"/>
      <c r="G63" s="220"/>
    </row>
    <row r="64" spans="1:26" x14ac:dyDescent="0.25">
      <c r="A64" s="43" t="s">
        <v>20</v>
      </c>
      <c r="B64" s="194" t="s">
        <v>49</v>
      </c>
      <c r="C64" s="194"/>
      <c r="D64" s="194"/>
      <c r="E64" s="196">
        <f t="shared" ref="E64:L64" si="7">E15</f>
        <v>2021</v>
      </c>
      <c r="F64" s="196">
        <f t="shared" si="7"/>
        <v>2022</v>
      </c>
      <c r="G64" s="197">
        <f t="shared" si="7"/>
        <v>2023</v>
      </c>
      <c r="H64" s="198">
        <f t="shared" si="7"/>
        <v>2024</v>
      </c>
      <c r="I64" s="198">
        <f t="shared" si="7"/>
        <v>2025</v>
      </c>
      <c r="J64" s="198">
        <f t="shared" si="7"/>
        <v>2026</v>
      </c>
      <c r="K64" s="198">
        <f t="shared" si="7"/>
        <v>2027</v>
      </c>
      <c r="L64" s="198">
        <f t="shared" si="7"/>
        <v>2028</v>
      </c>
      <c r="O64" s="61"/>
      <c r="P64" s="61"/>
      <c r="Q64" s="61"/>
      <c r="R64" s="61"/>
      <c r="S64" s="61"/>
      <c r="T64" s="80"/>
      <c r="U64" s="80"/>
      <c r="V64" s="80"/>
      <c r="W64" s="80"/>
      <c r="X64" s="80"/>
      <c r="Y64" s="80"/>
      <c r="Z64" s="80"/>
    </row>
    <row r="65" spans="1:24" ht="3.95" customHeight="1" x14ac:dyDescent="0.25">
      <c r="B65" s="199"/>
      <c r="C65" s="199"/>
      <c r="D65" s="199"/>
      <c r="E65" s="205"/>
      <c r="F65" s="205"/>
      <c r="G65" s="206"/>
      <c r="H65" s="199"/>
      <c r="I65" s="199"/>
      <c r="J65" s="199"/>
      <c r="K65" s="199"/>
      <c r="L65" s="199"/>
    </row>
    <row r="66" spans="1:24" x14ac:dyDescent="0.25">
      <c r="B66" s="209" t="s">
        <v>50</v>
      </c>
      <c r="C66" s="209"/>
      <c r="D66" s="209"/>
      <c r="E66" s="210">
        <f>(31285209+2962152)/1000</f>
        <v>34247.360999999997</v>
      </c>
      <c r="F66" s="210">
        <f>(35952098+3155561)/1000</f>
        <v>39107.659</v>
      </c>
      <c r="G66" s="218">
        <f>(35532411+3134148)/1000</f>
        <v>38666.559000000001</v>
      </c>
      <c r="H66" s="81">
        <f>+H67*H50</f>
        <v>45640.401703986019</v>
      </c>
      <c r="I66" s="81">
        <f>+I67*I50</f>
        <v>50542.024997335531</v>
      </c>
      <c r="J66" s="81">
        <f>+J67*J50</f>
        <v>55772.563646361341</v>
      </c>
      <c r="K66" s="81">
        <f>+K67*K50</f>
        <v>62699.394513184365</v>
      </c>
      <c r="L66" s="81">
        <f>+L67*L50</f>
        <v>68914.265169882638</v>
      </c>
      <c r="O66" s="81"/>
      <c r="P66" s="81"/>
      <c r="Q66" s="81"/>
      <c r="R66" s="81"/>
      <c r="S66" s="81"/>
    </row>
    <row r="67" spans="1:24" x14ac:dyDescent="0.25">
      <c r="B67" s="212" t="s">
        <v>51</v>
      </c>
      <c r="C67" s="209"/>
      <c r="D67" s="209"/>
      <c r="E67" s="216">
        <f>+E66/E50</f>
        <v>0.20125998103849724</v>
      </c>
      <c r="F67" s="216">
        <f>+F66/F50</f>
        <v>0.20772870666314494</v>
      </c>
      <c r="G67" s="219">
        <f>+G66/G50</f>
        <v>0.18412811630641043</v>
      </c>
      <c r="H67" s="66">
        <f>AVERAGE(E67:G67)</f>
        <v>0.19770560133601756</v>
      </c>
      <c r="I67" s="66">
        <f>AVERAGE(F67:H67)</f>
        <v>0.19652080810185765</v>
      </c>
      <c r="J67" s="66">
        <f t="shared" ref="J67" si="8">AVERAGE(G67:I67)</f>
        <v>0.19278484191476189</v>
      </c>
      <c r="K67" s="66">
        <f>AVERAGE(H67:J67)</f>
        <v>0.19567041711754571</v>
      </c>
      <c r="L67" s="66">
        <f>AVERAGE(I67:K67)</f>
        <v>0.1949920223780551</v>
      </c>
      <c r="O67" s="70"/>
      <c r="P67" s="70"/>
      <c r="Q67" s="70"/>
      <c r="R67" s="70"/>
      <c r="S67" s="70"/>
    </row>
    <row r="68" spans="1:24" x14ac:dyDescent="0.25">
      <c r="B68" s="209"/>
      <c r="C68" s="209"/>
      <c r="D68" s="209"/>
      <c r="E68" s="209"/>
      <c r="F68" s="209"/>
      <c r="G68" s="220"/>
      <c r="H68" s="49"/>
      <c r="I68" s="49"/>
      <c r="J68" s="49"/>
      <c r="K68" s="49"/>
      <c r="L68" s="49"/>
      <c r="O68" s="49"/>
      <c r="P68" s="49"/>
      <c r="Q68" s="49"/>
      <c r="R68" s="49"/>
      <c r="S68" s="49"/>
    </row>
    <row r="69" spans="1:24" ht="13.5" customHeight="1" x14ac:dyDescent="0.25">
      <c r="B69" s="209" t="s">
        <v>52</v>
      </c>
      <c r="C69" s="209"/>
      <c r="D69" s="209"/>
      <c r="E69" s="238">
        <f>(358284-47122106+1752-2706915+661168)/1000</f>
        <v>-48807.817000000003</v>
      </c>
      <c r="F69" s="210">
        <f>(-49430428+217878+23462-3696304)/1000</f>
        <v>-52885.392</v>
      </c>
      <c r="G69" s="218">
        <f>(-57611292+98341+11744-2922875)/1000</f>
        <v>-60424.082000000002</v>
      </c>
      <c r="H69" s="74">
        <f>-H70*H17</f>
        <v>-59518.756870326069</v>
      </c>
      <c r="I69" s="74">
        <f>-I70*I17</f>
        <v>-71974.168813893368</v>
      </c>
      <c r="J69" s="74">
        <f>-J70*J17</f>
        <v>-82657.463368016368</v>
      </c>
      <c r="K69" s="74">
        <f>-K70*K17</f>
        <v>-86906.730038322712</v>
      </c>
      <c r="L69" s="74">
        <f>-L70*L17</f>
        <v>-95686.647583558632</v>
      </c>
      <c r="O69" s="63"/>
      <c r="P69" s="63"/>
      <c r="Q69" s="63"/>
      <c r="R69" s="63"/>
      <c r="S69" s="63"/>
      <c r="T69" s="63"/>
    </row>
    <row r="70" spans="1:24" x14ac:dyDescent="0.25">
      <c r="B70" s="212" t="s">
        <v>26</v>
      </c>
      <c r="C70" s="209"/>
      <c r="D70" s="209"/>
      <c r="E70" s="216">
        <f>-E69/E17</f>
        <v>0.17456051057924779</v>
      </c>
      <c r="F70" s="216">
        <f>-F69/F17</f>
        <v>0.1749833471748431</v>
      </c>
      <c r="G70" s="217">
        <f>-G69/G17</f>
        <v>0.233356178191438</v>
      </c>
      <c r="H70" s="208">
        <f>AVERAGE(E70:G71)</f>
        <v>0.19430001198184299</v>
      </c>
      <c r="I70" s="66">
        <f>AVERAGE(F70:H71)</f>
        <v>0.20087984578270804</v>
      </c>
      <c r="J70" s="66">
        <f>AVERAGE(G70:I71)</f>
        <v>0.20951201198532968</v>
      </c>
      <c r="K70" s="66">
        <f>AVERAGE(H70:J71)</f>
        <v>0.20156395658329354</v>
      </c>
      <c r="L70" s="66">
        <f>AVERAGE(I70:K71)</f>
        <v>0.20398527145044376</v>
      </c>
      <c r="M70" s="66"/>
      <c r="O70" s="70"/>
      <c r="P70" s="70"/>
      <c r="Q70" s="70"/>
      <c r="R70" s="70"/>
      <c r="S70" s="70"/>
      <c r="W70" s="43">
        <v>2023</v>
      </c>
      <c r="X70" s="43">
        <v>2022</v>
      </c>
    </row>
    <row r="71" spans="1:24" x14ac:dyDescent="0.25">
      <c r="B71" s="209"/>
      <c r="C71" s="209"/>
      <c r="D71" s="209"/>
      <c r="E71" s="209"/>
      <c r="F71" s="209"/>
      <c r="G71" s="220"/>
      <c r="H71" s="49"/>
      <c r="I71" s="49"/>
      <c r="J71" s="49"/>
      <c r="K71" s="49"/>
      <c r="L71" s="49"/>
      <c r="O71" s="49"/>
      <c r="P71" s="49"/>
      <c r="Q71" s="49"/>
      <c r="R71" s="49"/>
      <c r="S71" s="49"/>
    </row>
    <row r="72" spans="1:24" x14ac:dyDescent="0.25">
      <c r="B72" s="209" t="s">
        <v>53</v>
      </c>
      <c r="C72" s="209"/>
      <c r="D72" s="209"/>
      <c r="E72" s="239"/>
      <c r="F72" s="239">
        <f>-((F41+F44+F47-F55-F58)-(E41+E44+E47-E55-E58))</f>
        <v>-7723</v>
      </c>
      <c r="G72" s="240">
        <f t="shared" ref="G72:L72" si="9">-((G41+G44+G47-G55-G58)-(F41+F44+F47-F55-F58))</f>
        <v>-4207</v>
      </c>
      <c r="H72" s="74">
        <f t="shared" si="9"/>
        <v>2184.019337741076</v>
      </c>
      <c r="I72" s="74">
        <f>-((I41+I44+I47-I55-I58)-(H41+H44+H47-H55-H58))</f>
        <v>-7624.152161610109</v>
      </c>
      <c r="J72" s="74">
        <f t="shared" si="9"/>
        <v>-5262.6896260365029</v>
      </c>
      <c r="K72" s="74">
        <f t="shared" si="9"/>
        <v>-3713.8186954427656</v>
      </c>
      <c r="L72" s="74">
        <f t="shared" si="9"/>
        <v>-5163.6321263426507</v>
      </c>
      <c r="O72" s="63"/>
      <c r="P72" s="63"/>
      <c r="Q72" s="63"/>
      <c r="R72" s="63"/>
      <c r="S72" s="63"/>
      <c r="V72" s="43" t="s">
        <v>54</v>
      </c>
      <c r="W72" s="82">
        <f>28058213+39526134+5078590+3857868-8666757-1767427-1142776</f>
        <v>64943845</v>
      </c>
      <c r="X72" s="82">
        <f>27349373+4707997+39956410+4836335-8149853-1494008-1006748</f>
        <v>66199506</v>
      </c>
    </row>
    <row r="73" spans="1:24" x14ac:dyDescent="0.25">
      <c r="B73" s="212" t="s">
        <v>55</v>
      </c>
      <c r="C73" s="209"/>
      <c r="D73" s="209"/>
      <c r="E73" s="216">
        <f>-E72/E17</f>
        <v>0</v>
      </c>
      <c r="F73" s="216">
        <f>+F72/(F17-E17)</f>
        <v>-0.34131789455075795</v>
      </c>
      <c r="G73" s="217">
        <f>+G72/(G17-F17)</f>
        <v>9.7168329637841833E-2</v>
      </c>
      <c r="H73" s="66"/>
      <c r="I73" s="66"/>
      <c r="J73" s="66"/>
      <c r="K73" s="66"/>
      <c r="L73" s="66"/>
      <c r="O73" s="70"/>
      <c r="P73" s="70"/>
      <c r="Q73" s="70"/>
      <c r="R73" s="70"/>
      <c r="S73" s="70"/>
    </row>
    <row r="74" spans="1:24" x14ac:dyDescent="0.25">
      <c r="B74" s="212" t="s">
        <v>26</v>
      </c>
      <c r="C74" s="209"/>
      <c r="D74" s="209"/>
      <c r="E74" s="216">
        <f>+E72/E17</f>
        <v>0</v>
      </c>
      <c r="F74" s="216">
        <f>+F72/F17</f>
        <v>-2.5553301944539111E-2</v>
      </c>
      <c r="G74" s="217">
        <f>+G72/G17</f>
        <v>-1.6247320756174331E-2</v>
      </c>
      <c r="H74" s="66"/>
      <c r="I74" s="66"/>
      <c r="J74" s="66"/>
      <c r="K74" s="66"/>
      <c r="L74" s="66"/>
      <c r="O74" s="70"/>
      <c r="P74" s="70"/>
      <c r="Q74" s="70"/>
      <c r="R74" s="70"/>
      <c r="S74" s="70"/>
    </row>
    <row r="75" spans="1:24" x14ac:dyDescent="0.25">
      <c r="B75" s="209"/>
      <c r="C75" s="209"/>
      <c r="D75" s="209"/>
      <c r="E75" s="209"/>
      <c r="F75" s="209"/>
      <c r="G75" s="220"/>
    </row>
    <row r="76" spans="1:24" x14ac:dyDescent="0.25">
      <c r="A76" s="43" t="s">
        <v>20</v>
      </c>
      <c r="B76" s="194" t="s">
        <v>56</v>
      </c>
      <c r="C76" s="194"/>
      <c r="D76" s="194"/>
      <c r="E76" s="196">
        <f t="shared" ref="E76:L76" si="10">E15</f>
        <v>2021</v>
      </c>
      <c r="F76" s="196">
        <f t="shared" si="10"/>
        <v>2022</v>
      </c>
      <c r="G76" s="197">
        <f t="shared" si="10"/>
        <v>2023</v>
      </c>
      <c r="H76" s="198">
        <f t="shared" si="10"/>
        <v>2024</v>
      </c>
      <c r="I76" s="198">
        <f t="shared" si="10"/>
        <v>2025</v>
      </c>
      <c r="J76" s="198">
        <f t="shared" si="10"/>
        <v>2026</v>
      </c>
      <c r="K76" s="198">
        <f t="shared" si="10"/>
        <v>2027</v>
      </c>
      <c r="L76" s="198">
        <f t="shared" si="10"/>
        <v>2028</v>
      </c>
      <c r="O76" s="61"/>
      <c r="P76" s="61"/>
      <c r="Q76" s="61"/>
      <c r="R76" s="61"/>
      <c r="S76" s="61"/>
    </row>
    <row r="77" spans="1:24" ht="3.95" customHeight="1" x14ac:dyDescent="0.25">
      <c r="B77" s="199"/>
      <c r="C77" s="199"/>
      <c r="D77" s="199"/>
      <c r="E77" s="199"/>
      <c r="F77" s="199"/>
      <c r="G77" s="200"/>
      <c r="H77" s="199"/>
      <c r="I77" s="199"/>
      <c r="J77" s="199"/>
      <c r="K77" s="199"/>
      <c r="L77" s="199"/>
    </row>
    <row r="78" spans="1:24" x14ac:dyDescent="0.25">
      <c r="B78" s="43" t="s">
        <v>57</v>
      </c>
      <c r="E78" s="74">
        <f>E17</f>
        <v>279604</v>
      </c>
      <c r="F78" s="74">
        <f>F17</f>
        <v>302231</v>
      </c>
      <c r="G78" s="83">
        <f>G17</f>
        <v>258935</v>
      </c>
      <c r="H78" s="74">
        <f ca="1">+G78*(1+H79)</f>
        <v>306324</v>
      </c>
      <c r="I78" s="74">
        <f t="shared" ref="I78:L78" ca="1" si="11">+H78*(1+I79)</f>
        <v>358294.62400000001</v>
      </c>
      <c r="J78" s="74">
        <f t="shared" ca="1" si="11"/>
        <v>394523.74393600004</v>
      </c>
      <c r="K78" s="74">
        <f ca="1">+J78*(1+K79)</f>
        <v>431162.05650790402</v>
      </c>
      <c r="L78" s="74">
        <f t="shared" ca="1" si="11"/>
        <v>469086.06147480989</v>
      </c>
      <c r="O78" s="63"/>
      <c r="P78" s="63"/>
      <c r="Q78" s="63"/>
      <c r="R78" s="63"/>
      <c r="S78" s="63"/>
    </row>
    <row r="79" spans="1:24" x14ac:dyDescent="0.25">
      <c r="B79" s="60" t="s">
        <v>22</v>
      </c>
      <c r="E79" s="72">
        <v>0.18099999999999999</v>
      </c>
      <c r="F79" s="72">
        <f>+(F78-E78)/E78</f>
        <v>8.092516559133632E-2</v>
      </c>
      <c r="G79" s="84">
        <f>+(G78-F78)/F78</f>
        <v>-0.14325466282413121</v>
      </c>
      <c r="H79" s="72">
        <f ca="1">+OFFSET(H79,$C$7,0)</f>
        <v>0.18301504238515456</v>
      </c>
      <c r="I79" s="72">
        <f ca="1">+OFFSET(I79,$C$7,0)</f>
        <v>0.16965900158002642</v>
      </c>
      <c r="J79" s="72">
        <f ca="1">+OFFSET(J79,$C$7,0)</f>
        <v>0.10111544385326857</v>
      </c>
      <c r="K79" s="72">
        <f ca="1">+OFFSET(K79,$C$7,0)</f>
        <v>9.2867192748346941E-2</v>
      </c>
      <c r="L79" s="72">
        <f ca="1">+OFFSET(L79,$C$7,0)</f>
        <v>8.7957658598399074E-2</v>
      </c>
      <c r="O79" s="85"/>
      <c r="P79" s="85"/>
      <c r="Q79" s="85"/>
      <c r="R79" s="85"/>
      <c r="S79" s="85"/>
    </row>
    <row r="80" spans="1:24" x14ac:dyDescent="0.25">
      <c r="B80" s="43" t="s">
        <v>2</v>
      </c>
      <c r="G80" s="86"/>
      <c r="H80" s="87">
        <f>+H81-1.5%</f>
        <v>0.16801504238515458</v>
      </c>
      <c r="I80" s="87">
        <f t="shared" ref="I80:L80" si="12">+I81-1.5%</f>
        <v>0.15465900158002643</v>
      </c>
      <c r="J80" s="87">
        <f t="shared" si="12"/>
        <v>8.6115443853268567E-2</v>
      </c>
      <c r="K80" s="87">
        <f t="shared" si="12"/>
        <v>7.7867192748346942E-2</v>
      </c>
      <c r="L80" s="88">
        <f t="shared" si="12"/>
        <v>7.2957658598399075E-2</v>
      </c>
      <c r="O80" s="85"/>
      <c r="P80" s="85"/>
      <c r="Q80" s="85"/>
      <c r="R80" s="85"/>
      <c r="S80" s="85"/>
    </row>
    <row r="81" spans="2:19" x14ac:dyDescent="0.25">
      <c r="B81" s="43" t="s">
        <v>3</v>
      </c>
      <c r="G81" s="86"/>
      <c r="H81" s="89">
        <f>+H18</f>
        <v>0.18301504238515456</v>
      </c>
      <c r="I81" s="89">
        <f>+I18</f>
        <v>0.16965900158002642</v>
      </c>
      <c r="J81" s="89">
        <f>+J18</f>
        <v>0.10111544385326857</v>
      </c>
      <c r="K81" s="89">
        <f>+K18</f>
        <v>9.2867192748346941E-2</v>
      </c>
      <c r="L81" s="90">
        <f>+L18</f>
        <v>8.7957658598399074E-2</v>
      </c>
      <c r="O81" s="65"/>
      <c r="P81" s="65"/>
      <c r="Q81" s="65"/>
      <c r="R81" s="65"/>
      <c r="S81" s="65"/>
    </row>
    <row r="82" spans="2:19" x14ac:dyDescent="0.25">
      <c r="B82" s="43" t="s">
        <v>4</v>
      </c>
      <c r="G82" s="86"/>
      <c r="H82" s="87">
        <f>+H81+1.5%</f>
        <v>0.19801504238515455</v>
      </c>
      <c r="I82" s="87">
        <f t="shared" ref="I82:L82" si="13">+I81+1.5%</f>
        <v>0.18465900158002641</v>
      </c>
      <c r="J82" s="87">
        <f t="shared" si="13"/>
        <v>0.11611544385326857</v>
      </c>
      <c r="K82" s="87">
        <f t="shared" si="13"/>
        <v>0.10786719274834694</v>
      </c>
      <c r="L82" s="88">
        <f t="shared" si="13"/>
        <v>0.10295765859839907</v>
      </c>
      <c r="O82" s="85"/>
      <c r="P82" s="85"/>
      <c r="Q82" s="85"/>
      <c r="R82" s="85"/>
      <c r="S82" s="85"/>
    </row>
    <row r="83" spans="2:19" x14ac:dyDescent="0.25">
      <c r="G83" s="86"/>
    </row>
    <row r="84" spans="2:19" x14ac:dyDescent="0.25">
      <c r="B84" s="43" t="s">
        <v>10</v>
      </c>
      <c r="E84" s="74">
        <f>E23</f>
        <v>51053.966</v>
      </c>
      <c r="F84" s="74">
        <f>F23</f>
        <v>42457.881999999998</v>
      </c>
      <c r="G84" s="83">
        <f>G23</f>
        <v>5776.5469999999996</v>
      </c>
      <c r="H84" s="91">
        <f ca="1">+H85*H78</f>
        <v>36238.129200000003</v>
      </c>
      <c r="I84" s="91">
        <f t="shared" ref="I84:L84" ca="1" si="14">+I85*I78</f>
        <v>50985.324995200004</v>
      </c>
      <c r="J84" s="91">
        <f t="shared" ca="1" si="14"/>
        <v>61506.251679622408</v>
      </c>
      <c r="K84" s="91">
        <f t="shared" ca="1" si="14"/>
        <v>51739.446780948478</v>
      </c>
      <c r="L84" s="91">
        <f t="shared" ca="1" si="14"/>
        <v>56290.327376977184</v>
      </c>
      <c r="O84" s="92"/>
      <c r="P84" s="92"/>
      <c r="Q84" s="92"/>
      <c r="R84" s="92"/>
      <c r="S84" s="92"/>
    </row>
    <row r="85" spans="2:19" x14ac:dyDescent="0.25">
      <c r="B85" s="60" t="s">
        <v>25</v>
      </c>
      <c r="E85" s="72">
        <f>+E84/E$17</f>
        <v>0.18259383270625598</v>
      </c>
      <c r="F85" s="72">
        <f>+F84/F$17</f>
        <v>0.14048155880766697</v>
      </c>
      <c r="G85" s="84">
        <f>+G84/G$17</f>
        <v>2.2308869021182922E-2</v>
      </c>
      <c r="H85" s="72">
        <f ca="1">+OFFSET(H85,$C$8,0)</f>
        <v>0.1183</v>
      </c>
      <c r="I85" s="72">
        <f ca="1">+OFFSET(I85,$C$8,0)</f>
        <v>0.14230000000000001</v>
      </c>
      <c r="J85" s="72">
        <f ca="1">+OFFSET(J85,$C$8,0)</f>
        <v>0.15590000000000001</v>
      </c>
      <c r="K85" s="72">
        <f ca="1">+OFFSET(K85,$C$8,0)</f>
        <v>0.12</v>
      </c>
      <c r="L85" s="72">
        <f ca="1">+OFFSET(L85,$C$8,0)</f>
        <v>0.12</v>
      </c>
      <c r="O85" s="85"/>
      <c r="P85" s="85"/>
      <c r="Q85" s="85"/>
      <c r="R85" s="85"/>
      <c r="S85" s="85"/>
    </row>
    <row r="86" spans="2:19" x14ac:dyDescent="0.25">
      <c r="B86" s="43" t="s">
        <v>2</v>
      </c>
      <c r="G86" s="86"/>
      <c r="H86" s="87">
        <f>+H87-1.5%</f>
        <v>0.1033</v>
      </c>
      <c r="I86" s="87">
        <f t="shared" ref="I86:L86" si="15">+I87-1.5%</f>
        <v>0.12730000000000002</v>
      </c>
      <c r="J86" s="87">
        <f t="shared" si="15"/>
        <v>0.14090000000000003</v>
      </c>
      <c r="K86" s="87">
        <f t="shared" si="15"/>
        <v>0.105</v>
      </c>
      <c r="L86" s="88">
        <f t="shared" si="15"/>
        <v>0.105</v>
      </c>
      <c r="O86" s="85"/>
      <c r="P86" s="85"/>
      <c r="Q86" s="85"/>
      <c r="R86" s="85"/>
      <c r="S86" s="85"/>
    </row>
    <row r="87" spans="2:19" x14ac:dyDescent="0.25">
      <c r="B87" s="43" t="s">
        <v>3</v>
      </c>
      <c r="G87" s="86"/>
      <c r="H87" s="89">
        <f>+H24</f>
        <v>0.1183</v>
      </c>
      <c r="I87" s="89">
        <f>+I24</f>
        <v>0.14230000000000001</v>
      </c>
      <c r="J87" s="89">
        <f>+J24</f>
        <v>0.15590000000000001</v>
      </c>
      <c r="K87" s="89">
        <f>+K24</f>
        <v>0.12</v>
      </c>
      <c r="L87" s="90">
        <f>+L24</f>
        <v>0.12</v>
      </c>
      <c r="O87" s="65"/>
      <c r="P87" s="65"/>
      <c r="Q87" s="65"/>
      <c r="R87" s="65"/>
      <c r="S87" s="65"/>
    </row>
    <row r="88" spans="2:19" x14ac:dyDescent="0.25">
      <c r="B88" s="43" t="s">
        <v>4</v>
      </c>
      <c r="G88" s="86"/>
      <c r="H88" s="87">
        <f>+H87+1.5%</f>
        <v>0.1333</v>
      </c>
      <c r="I88" s="87">
        <f t="shared" ref="I88:L88" si="16">+I87+1.5%</f>
        <v>0.1573</v>
      </c>
      <c r="J88" s="87">
        <f t="shared" si="16"/>
        <v>0.1709</v>
      </c>
      <c r="K88" s="87">
        <f t="shared" si="16"/>
        <v>0.13500000000000001</v>
      </c>
      <c r="L88" s="88">
        <f t="shared" si="16"/>
        <v>0.13500000000000001</v>
      </c>
      <c r="O88" s="85"/>
      <c r="P88" s="85"/>
      <c r="Q88" s="85"/>
      <c r="R88" s="85"/>
      <c r="S88" s="85"/>
    </row>
    <row r="89" spans="2:19" x14ac:dyDescent="0.25">
      <c r="G89" s="86"/>
    </row>
    <row r="90" spans="2:19" x14ac:dyDescent="0.25">
      <c r="B90" s="43" t="s">
        <v>58</v>
      </c>
      <c r="E90" s="74">
        <f t="shared" ref="E90:L90" si="17">E34</f>
        <v>-13444</v>
      </c>
      <c r="F90" s="74">
        <f t="shared" si="17"/>
        <v>9214</v>
      </c>
      <c r="G90" s="83">
        <f t="shared" si="17"/>
        <v>4481</v>
      </c>
      <c r="H90" s="74">
        <f t="shared" si="17"/>
        <v>-1970.1793381661439</v>
      </c>
      <c r="I90" s="74">
        <f t="shared" si="17"/>
        <v>-10198.186845088212</v>
      </c>
      <c r="J90" s="74">
        <f t="shared" si="17"/>
        <v>-12154.187643028885</v>
      </c>
      <c r="K90" s="74">
        <f t="shared" si="17"/>
        <v>-14373.928015149857</v>
      </c>
      <c r="L90" s="74">
        <f t="shared" si="17"/>
        <v>-16154.498591470739</v>
      </c>
      <c r="O90" s="63"/>
      <c r="P90" s="63"/>
      <c r="Q90" s="63"/>
      <c r="R90" s="63"/>
      <c r="S90" s="63"/>
    </row>
    <row r="91" spans="2:19" x14ac:dyDescent="0.25">
      <c r="B91" s="60" t="s">
        <v>59</v>
      </c>
      <c r="E91" s="72">
        <f>-E90/E$32</f>
        <v>0.25623253624887993</v>
      </c>
      <c r="F91" s="72">
        <f>-F90/F$32</f>
        <v>-0.20209294950909223</v>
      </c>
      <c r="G91" s="84">
        <f>-G90/G$32</f>
        <v>-0.47677582502912425</v>
      </c>
      <c r="H91" s="93">
        <f>+H35</f>
        <v>-0.05</v>
      </c>
      <c r="I91" s="93">
        <f t="shared" ref="I91:L91" si="18">+I35</f>
        <v>-0.2</v>
      </c>
      <c r="J91" s="93">
        <f t="shared" si="18"/>
        <v>-0.2</v>
      </c>
      <c r="K91" s="93">
        <f t="shared" si="18"/>
        <v>-0.2</v>
      </c>
      <c r="L91" s="93">
        <f t="shared" si="18"/>
        <v>-0.2</v>
      </c>
      <c r="O91" s="85"/>
      <c r="P91" s="85"/>
      <c r="Q91" s="85"/>
      <c r="R91" s="85"/>
      <c r="S91" s="85"/>
    </row>
    <row r="92" spans="2:19" x14ac:dyDescent="0.25">
      <c r="B92" s="60"/>
      <c r="G92" s="86"/>
    </row>
    <row r="93" spans="2:19" x14ac:dyDescent="0.25">
      <c r="B93" s="94" t="s">
        <v>60</v>
      </c>
      <c r="C93" s="95"/>
      <c r="D93" s="95"/>
      <c r="E93" s="96">
        <f t="shared" ref="E93:L93" si="19">+E84-E90</f>
        <v>64497.966</v>
      </c>
      <c r="F93" s="95">
        <f t="shared" si="19"/>
        <v>33243.881999999998</v>
      </c>
      <c r="G93" s="97">
        <f t="shared" si="19"/>
        <v>1295.5469999999996</v>
      </c>
      <c r="H93" s="98">
        <f t="shared" ca="1" si="19"/>
        <v>38208.308538166144</v>
      </c>
      <c r="I93" s="98">
        <f t="shared" ca="1" si="19"/>
        <v>61183.511840288214</v>
      </c>
      <c r="J93" s="98">
        <f t="shared" ca="1" si="19"/>
        <v>73660.439322651291</v>
      </c>
      <c r="K93" s="98">
        <f t="shared" ca="1" si="19"/>
        <v>66113.374796098331</v>
      </c>
      <c r="L93" s="99">
        <f t="shared" ca="1" si="19"/>
        <v>72444.825968447927</v>
      </c>
      <c r="O93" s="92"/>
      <c r="P93" s="92"/>
      <c r="Q93" s="92"/>
      <c r="R93" s="92"/>
      <c r="S93" s="92"/>
    </row>
    <row r="94" spans="2:19" x14ac:dyDescent="0.25">
      <c r="G94" s="86"/>
    </row>
    <row r="95" spans="2:19" x14ac:dyDescent="0.25">
      <c r="B95" s="43" t="s">
        <v>50</v>
      </c>
      <c r="E95" s="74">
        <f t="shared" ref="E95:L96" si="20">+E66</f>
        <v>34247.360999999997</v>
      </c>
      <c r="F95" s="74">
        <f t="shared" si="20"/>
        <v>39107.659</v>
      </c>
      <c r="G95" s="83">
        <f t="shared" si="20"/>
        <v>38666.559000000001</v>
      </c>
      <c r="H95" s="92">
        <f t="shared" si="20"/>
        <v>45640.401703986019</v>
      </c>
      <c r="I95" s="92">
        <f t="shared" si="20"/>
        <v>50542.024997335531</v>
      </c>
      <c r="J95" s="92">
        <f t="shared" si="20"/>
        <v>55772.563646361341</v>
      </c>
      <c r="K95" s="92">
        <f t="shared" si="20"/>
        <v>62699.394513184365</v>
      </c>
      <c r="L95" s="92">
        <f t="shared" si="20"/>
        <v>68914.265169882638</v>
      </c>
      <c r="O95" s="92"/>
      <c r="P95" s="92"/>
      <c r="Q95" s="92"/>
      <c r="R95" s="92"/>
      <c r="S95" s="92"/>
    </row>
    <row r="96" spans="2:19" x14ac:dyDescent="0.25">
      <c r="B96" s="60" t="s">
        <v>61</v>
      </c>
      <c r="E96" s="72">
        <f>+E67</f>
        <v>0.20125998103849724</v>
      </c>
      <c r="F96" s="72">
        <f>+F67</f>
        <v>0.20772870666314494</v>
      </c>
      <c r="G96" s="84">
        <f>+G67</f>
        <v>0.18412811630641043</v>
      </c>
      <c r="H96" s="93">
        <f t="shared" si="20"/>
        <v>0.19770560133601756</v>
      </c>
      <c r="I96" s="93">
        <f t="shared" si="20"/>
        <v>0.19652080810185765</v>
      </c>
      <c r="J96" s="93">
        <f t="shared" si="20"/>
        <v>0.19278484191476189</v>
      </c>
      <c r="K96" s="93">
        <f t="shared" si="20"/>
        <v>0.19567041711754571</v>
      </c>
      <c r="L96" s="93">
        <f t="shared" si="20"/>
        <v>0.1949920223780551</v>
      </c>
      <c r="O96" s="85"/>
      <c r="P96" s="85"/>
      <c r="Q96" s="85"/>
      <c r="R96" s="85"/>
      <c r="S96" s="85"/>
    </row>
    <row r="97" spans="2:19" x14ac:dyDescent="0.25">
      <c r="G97" s="86"/>
    </row>
    <row r="98" spans="2:19" x14ac:dyDescent="0.25">
      <c r="B98" s="43" t="s">
        <v>62</v>
      </c>
      <c r="E98" s="74">
        <f t="shared" ref="E98:L99" si="21">+E69</f>
        <v>-48807.817000000003</v>
      </c>
      <c r="F98" s="74">
        <f t="shared" si="21"/>
        <v>-52885.392</v>
      </c>
      <c r="G98" s="83">
        <f t="shared" si="21"/>
        <v>-60424.082000000002</v>
      </c>
      <c r="H98" s="62">
        <f t="shared" si="21"/>
        <v>-59518.756870326069</v>
      </c>
      <c r="I98" s="62">
        <f t="shared" si="21"/>
        <v>-71974.168813893368</v>
      </c>
      <c r="J98" s="62">
        <f t="shared" si="21"/>
        <v>-82657.463368016368</v>
      </c>
      <c r="K98" s="62">
        <f t="shared" si="21"/>
        <v>-86906.730038322712</v>
      </c>
      <c r="L98" s="62">
        <f t="shared" si="21"/>
        <v>-95686.647583558632</v>
      </c>
      <c r="O98" s="100"/>
      <c r="P98" s="100"/>
      <c r="Q98" s="100"/>
      <c r="R98" s="100"/>
      <c r="S98" s="100"/>
    </row>
    <row r="99" spans="2:19" x14ac:dyDescent="0.25">
      <c r="B99" s="60" t="s">
        <v>25</v>
      </c>
      <c r="E99" s="72">
        <f t="shared" si="21"/>
        <v>0.17456051057924779</v>
      </c>
      <c r="F99" s="72">
        <f t="shared" si="21"/>
        <v>0.1749833471748431</v>
      </c>
      <c r="G99" s="84">
        <f t="shared" si="21"/>
        <v>0.233356178191438</v>
      </c>
      <c r="H99" s="72">
        <f t="shared" si="21"/>
        <v>0.19430001198184299</v>
      </c>
      <c r="I99" s="72">
        <f t="shared" si="21"/>
        <v>0.20087984578270804</v>
      </c>
      <c r="J99" s="72">
        <f t="shared" si="21"/>
        <v>0.20951201198532968</v>
      </c>
      <c r="K99" s="72">
        <f t="shared" si="21"/>
        <v>0.20156395658329354</v>
      </c>
      <c r="L99" s="72">
        <f t="shared" si="21"/>
        <v>0.20398527145044376</v>
      </c>
      <c r="O99" s="85"/>
      <c r="P99" s="85"/>
      <c r="Q99" s="85"/>
      <c r="R99" s="85"/>
      <c r="S99" s="85"/>
    </row>
    <row r="100" spans="2:19" x14ac:dyDescent="0.25">
      <c r="G100" s="86"/>
    </row>
    <row r="101" spans="2:19" x14ac:dyDescent="0.25">
      <c r="B101" s="43" t="s">
        <v>53</v>
      </c>
      <c r="E101" s="74">
        <f t="shared" ref="E101:L102" si="22">+E72</f>
        <v>0</v>
      </c>
      <c r="F101" s="74">
        <f t="shared" si="22"/>
        <v>-7723</v>
      </c>
      <c r="G101" s="83">
        <f t="shared" si="22"/>
        <v>-4207</v>
      </c>
      <c r="H101" s="101">
        <f t="shared" si="22"/>
        <v>2184.019337741076</v>
      </c>
      <c r="I101" s="101">
        <f t="shared" si="22"/>
        <v>-7624.152161610109</v>
      </c>
      <c r="J101" s="101">
        <f t="shared" si="22"/>
        <v>-5262.6896260365029</v>
      </c>
      <c r="K101" s="101">
        <f t="shared" si="22"/>
        <v>-3713.8186954427656</v>
      </c>
      <c r="L101" s="101">
        <f t="shared" si="22"/>
        <v>-5163.6321263426507</v>
      </c>
      <c r="O101" s="100"/>
      <c r="P101" s="100"/>
      <c r="Q101" s="100"/>
      <c r="R101" s="100"/>
      <c r="S101" s="100"/>
    </row>
    <row r="102" spans="2:19" x14ac:dyDescent="0.25">
      <c r="B102" s="60" t="s">
        <v>63</v>
      </c>
      <c r="E102" s="72">
        <f t="shared" si="22"/>
        <v>0</v>
      </c>
      <c r="F102" s="72">
        <f t="shared" si="22"/>
        <v>-0.34131789455075795</v>
      </c>
      <c r="G102" s="84">
        <f t="shared" si="22"/>
        <v>9.7168329637841833E-2</v>
      </c>
      <c r="H102" s="93">
        <f t="shared" si="22"/>
        <v>0</v>
      </c>
      <c r="I102" s="93">
        <f t="shared" si="22"/>
        <v>0</v>
      </c>
      <c r="J102" s="93">
        <f t="shared" si="22"/>
        <v>0</v>
      </c>
      <c r="K102" s="93">
        <f t="shared" si="22"/>
        <v>0</v>
      </c>
      <c r="L102" s="93">
        <f t="shared" si="22"/>
        <v>0</v>
      </c>
      <c r="O102" s="85"/>
      <c r="P102" s="85"/>
      <c r="Q102" s="85"/>
      <c r="R102" s="85"/>
      <c r="S102" s="85"/>
    </row>
    <row r="103" spans="2:19" x14ac:dyDescent="0.25">
      <c r="G103" s="102"/>
    </row>
    <row r="104" spans="2:19" x14ac:dyDescent="0.25">
      <c r="B104" s="103" t="s">
        <v>64</v>
      </c>
      <c r="C104" s="104"/>
      <c r="D104" s="104"/>
      <c r="E104" s="104"/>
      <c r="F104" s="104"/>
      <c r="G104" s="104"/>
      <c r="H104" s="105">
        <f ca="1">+H93+H95+H98+H101</f>
        <v>26513.972709567162</v>
      </c>
      <c r="I104" s="105">
        <f t="shared" ref="I104:L104" ca="1" si="23">+I93+I95+I98+I101</f>
        <v>32127.215862120269</v>
      </c>
      <c r="J104" s="105">
        <f t="shared" ca="1" si="23"/>
        <v>41512.849974959754</v>
      </c>
      <c r="K104" s="105">
        <f t="shared" ca="1" si="23"/>
        <v>38192.220575517218</v>
      </c>
      <c r="L104" s="106">
        <f t="shared" ca="1" si="23"/>
        <v>40508.811428429297</v>
      </c>
      <c r="O104" s="75"/>
      <c r="P104" s="75"/>
      <c r="Q104" s="75"/>
      <c r="R104" s="75"/>
      <c r="S104" s="75"/>
    </row>
    <row r="105" spans="2:19" x14ac:dyDescent="0.25">
      <c r="B105" s="107" t="s">
        <v>65</v>
      </c>
      <c r="C105" s="108"/>
      <c r="D105" s="108"/>
      <c r="E105" s="108"/>
      <c r="F105" s="108"/>
      <c r="G105" s="108"/>
      <c r="H105" s="109">
        <f ca="1">+H104/(1+$C$12)^H107</f>
        <v>25734.154398751132</v>
      </c>
      <c r="I105" s="109">
        <f ca="1">+I104/(1+$C$12)^I107</f>
        <v>29067.155595866858</v>
      </c>
      <c r="J105" s="109">
        <f ca="1">+J104/(1+$C$12)^J107</f>
        <v>35011.147149232303</v>
      </c>
      <c r="K105" s="109">
        <f ca="1">+K104/(1+$C$12)^K107</f>
        <v>30025.693527810821</v>
      </c>
      <c r="L105" s="110">
        <f ca="1">+L104/(1+$C$12)^L107</f>
        <v>29686.704187963969</v>
      </c>
      <c r="O105" s="75"/>
      <c r="P105" s="75"/>
      <c r="Q105" s="75"/>
      <c r="R105" s="75"/>
      <c r="S105" s="75"/>
    </row>
    <row r="107" spans="2:19" x14ac:dyDescent="0.25">
      <c r="B107" s="43" t="s">
        <v>66</v>
      </c>
      <c r="H107" s="111">
        <f ca="1">+H108/2</f>
        <v>0.42499999999999999</v>
      </c>
      <c r="I107" s="111">
        <f ca="1">+H107+1</f>
        <v>1.425</v>
      </c>
      <c r="J107" s="111">
        <f t="shared" ref="J107:L107" ca="1" si="24">+I107+1</f>
        <v>2.4249999999999998</v>
      </c>
      <c r="K107" s="111">
        <f ca="1">+J107+1</f>
        <v>3.4249999999999998</v>
      </c>
      <c r="L107" s="111">
        <f t="shared" ca="1" si="24"/>
        <v>4.4249999999999998</v>
      </c>
      <c r="O107" s="111"/>
      <c r="P107" s="111"/>
      <c r="Q107" s="111"/>
      <c r="R107" s="111"/>
      <c r="S107" s="111"/>
    </row>
    <row r="108" spans="2:19" x14ac:dyDescent="0.25">
      <c r="B108" s="43" t="s">
        <v>67</v>
      </c>
      <c r="H108" s="111">
        <f ca="1">YEARFRAC(P108,P109)</f>
        <v>0.85</v>
      </c>
      <c r="P108" s="112">
        <f ca="1">TODAY()</f>
        <v>45967</v>
      </c>
    </row>
    <row r="109" spans="2:19" x14ac:dyDescent="0.25">
      <c r="P109" s="112">
        <v>45657</v>
      </c>
    </row>
    <row r="110" spans="2:19" x14ac:dyDescent="0.25">
      <c r="B110" s="43" t="s">
        <v>68</v>
      </c>
      <c r="L110" s="113">
        <f ca="1">+(L104*(1+$C$13))/($C$12-$C$13)</f>
        <v>1110121.0134293467</v>
      </c>
      <c r="S110" s="113">
        <f>+(S104*(1+$C$13))/($C$12-$C$13)</f>
        <v>0</v>
      </c>
    </row>
    <row r="111" spans="2:19" x14ac:dyDescent="0.25">
      <c r="B111" s="43" t="s">
        <v>69</v>
      </c>
      <c r="L111" s="113">
        <f ca="1">+L110/(1+$C$12)^L107</f>
        <v>813547.29937574069</v>
      </c>
      <c r="S111" s="113"/>
    </row>
    <row r="112" spans="2:19" x14ac:dyDescent="0.25">
      <c r="B112" s="43" t="s">
        <v>70</v>
      </c>
      <c r="L112" s="75">
        <f ca="1">+SUM(H105:L105,L111)</f>
        <v>963072.1542353658</v>
      </c>
      <c r="S112" s="75"/>
    </row>
    <row r="113" spans="1:19" x14ac:dyDescent="0.25">
      <c r="B113" s="43" t="s">
        <v>71</v>
      </c>
      <c r="L113" s="113">
        <v>49844</v>
      </c>
      <c r="S113" s="113"/>
    </row>
    <row r="114" spans="1:19" x14ac:dyDescent="0.25">
      <c r="B114" s="43" t="s">
        <v>72</v>
      </c>
      <c r="L114" s="113">
        <v>31644</v>
      </c>
      <c r="S114" s="113"/>
    </row>
    <row r="115" spans="1:19" x14ac:dyDescent="0.25">
      <c r="B115" s="43" t="s">
        <v>73</v>
      </c>
      <c r="L115" s="113">
        <v>11946.7</v>
      </c>
      <c r="M115" s="182"/>
      <c r="S115" s="113"/>
    </row>
    <row r="116" spans="1:19" x14ac:dyDescent="0.25">
      <c r="B116" s="43" t="s">
        <v>74</v>
      </c>
      <c r="L116" s="113">
        <v>16481</v>
      </c>
      <c r="S116" s="113"/>
    </row>
    <row r="117" spans="1:19" x14ac:dyDescent="0.25">
      <c r="B117" s="43" t="s">
        <v>75</v>
      </c>
      <c r="L117" s="113">
        <f ca="1">+L112+L113-L114-L115-L116</f>
        <v>952844.45423536585</v>
      </c>
      <c r="S117" s="113"/>
    </row>
    <row r="119" spans="1:19" x14ac:dyDescent="0.25">
      <c r="B119" s="43" t="s">
        <v>76</v>
      </c>
      <c r="L119" s="75" cm="1">
        <f t="array" aca="1" ref="L119" ca="1">_FV($V$4,"Shares outstanding",TRUE)/1000</f>
        <v>6735613</v>
      </c>
      <c r="N119" s="43">
        <v>2025</v>
      </c>
      <c r="O119" s="60"/>
      <c r="S119" s="75"/>
    </row>
    <row r="120" spans="1:19" x14ac:dyDescent="0.25">
      <c r="A120" s="43" t="s">
        <v>20</v>
      </c>
      <c r="B120" s="114" t="s">
        <v>77</v>
      </c>
      <c r="L120" s="115">
        <f ca="1">+L117/L119*1000000</f>
        <v>141463.6580568637</v>
      </c>
      <c r="N120" s="173">
        <f ca="1">L120/(1+WACC!G22)^4</f>
        <v>106812.54697658079</v>
      </c>
      <c r="S120" s="116"/>
    </row>
    <row r="122" spans="1:19" x14ac:dyDescent="0.25">
      <c r="B122" s="43" t="s">
        <v>78</v>
      </c>
      <c r="L122" s="117" cm="1">
        <f t="array" aca="1" ref="L122" ca="1">_FV($V$4,"Price",TRUE)</f>
        <v>99200</v>
      </c>
      <c r="S122" s="117"/>
    </row>
    <row r="123" spans="1:19" x14ac:dyDescent="0.25">
      <c r="B123" s="43" t="s">
        <v>79</v>
      </c>
      <c r="L123" s="57">
        <f ca="1">+(L120-L122)/L122</f>
        <v>0.42604494008935184</v>
      </c>
      <c r="S123" s="5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BA367-51E7-42B4-AE49-C242881FA8B7}">
  <sheetPr codeName="Sheet2"/>
  <dimension ref="A2:AE31"/>
  <sheetViews>
    <sheetView showGridLines="0" workbookViewId="0">
      <selection activeCell="C16" sqref="C16"/>
    </sheetView>
  </sheetViews>
  <sheetFormatPr defaultRowHeight="15" x14ac:dyDescent="0.25"/>
  <cols>
    <col min="1" max="1" width="3.7109375" style="14" customWidth="1"/>
    <col min="2" max="2" width="12.140625" style="14" bestFit="1" customWidth="1"/>
    <col min="3" max="3" width="32.5703125" style="14" customWidth="1"/>
    <col min="4" max="4" width="14.42578125" style="14" customWidth="1"/>
    <col min="5" max="5" width="9.5703125" style="14" customWidth="1"/>
    <col min="6" max="7" width="13.140625" style="14" customWidth="1"/>
    <col min="8" max="8" width="12.7109375" style="14" customWidth="1"/>
    <col min="9" max="11" width="13.140625" style="14" customWidth="1"/>
    <col min="12" max="14" width="15.28515625" style="14" customWidth="1"/>
    <col min="15" max="15" width="11.28515625" style="14" customWidth="1"/>
    <col min="16" max="17" width="13.140625" style="14" customWidth="1"/>
    <col min="18" max="18" width="15.28515625" style="14" customWidth="1"/>
    <col min="19" max="24" width="13.85546875" style="14" customWidth="1"/>
    <col min="25" max="25" width="4.7109375" style="14" customWidth="1"/>
    <col min="26" max="31" width="13.85546875" style="14" customWidth="1"/>
    <col min="32" max="16384" width="9.140625" style="14"/>
  </cols>
  <sheetData>
    <row r="2" spans="1:31" s="15" customFormat="1" ht="20.100000000000001" customHeight="1" x14ac:dyDescent="0.35">
      <c r="B2" s="16" t="s">
        <v>80</v>
      </c>
    </row>
    <row r="4" spans="1:31" x14ac:dyDescent="0.25">
      <c r="B4" s="14" t="s">
        <v>81</v>
      </c>
      <c r="C4" s="17">
        <f ca="1">TODAY()</f>
        <v>45967</v>
      </c>
    </row>
    <row r="5" spans="1:31" x14ac:dyDescent="0.25">
      <c r="B5" s="14" t="s">
        <v>82</v>
      </c>
      <c r="C5" s="18" t="s">
        <v>83</v>
      </c>
    </row>
    <row r="7" spans="1:31" x14ac:dyDescent="0.25">
      <c r="B7" s="257"/>
      <c r="C7" s="257"/>
      <c r="D7" s="257"/>
      <c r="E7" s="257"/>
      <c r="F7" s="257"/>
      <c r="G7" s="257"/>
      <c r="H7" s="257"/>
      <c r="I7" s="257"/>
      <c r="J7" s="257"/>
      <c r="K7" s="257"/>
      <c r="L7" s="257"/>
      <c r="M7" s="257"/>
      <c r="N7" s="257"/>
      <c r="O7" s="257"/>
      <c r="P7" s="257"/>
      <c r="Q7" s="257"/>
      <c r="R7" s="257"/>
      <c r="S7" s="257"/>
      <c r="T7" s="257"/>
      <c r="U7" s="257"/>
      <c r="V7" s="257"/>
      <c r="W7" s="257"/>
      <c r="X7" s="257"/>
      <c r="Y7" s="257"/>
      <c r="Z7" s="258"/>
      <c r="AA7" s="258"/>
      <c r="AB7" s="313" t="s">
        <v>84</v>
      </c>
      <c r="AC7" s="313"/>
      <c r="AD7" s="258"/>
      <c r="AE7" s="258"/>
    </row>
    <row r="8" spans="1:31" ht="15.75" x14ac:dyDescent="0.25">
      <c r="A8" s="23"/>
      <c r="B8" s="259"/>
      <c r="C8" s="259"/>
      <c r="D8" s="260" t="s">
        <v>85</v>
      </c>
      <c r="E8" s="260" t="s">
        <v>86</v>
      </c>
      <c r="F8" s="260" t="s">
        <v>87</v>
      </c>
      <c r="G8" s="260" t="s">
        <v>88</v>
      </c>
      <c r="H8" s="257"/>
      <c r="I8" s="266"/>
      <c r="J8" s="267" t="s">
        <v>5</v>
      </c>
      <c r="K8" s="266"/>
      <c r="L8" s="257"/>
      <c r="M8" s="312" t="s">
        <v>89</v>
      </c>
      <c r="N8" s="312"/>
      <c r="O8" s="257"/>
      <c r="P8" s="312" t="s">
        <v>90</v>
      </c>
      <c r="Q8" s="312"/>
      <c r="R8" s="257"/>
      <c r="S8" s="312" t="s">
        <v>91</v>
      </c>
      <c r="T8" s="312"/>
      <c r="U8" s="312" t="s">
        <v>92</v>
      </c>
      <c r="V8" s="312"/>
      <c r="W8" s="312" t="s">
        <v>93</v>
      </c>
      <c r="X8" s="312"/>
      <c r="Y8" s="257"/>
      <c r="Z8" s="312" t="s">
        <v>94</v>
      </c>
      <c r="AA8" s="312"/>
      <c r="AB8" s="312" t="s">
        <v>95</v>
      </c>
      <c r="AC8" s="312"/>
      <c r="AD8" s="312" t="s">
        <v>96</v>
      </c>
      <c r="AE8" s="312"/>
    </row>
    <row r="9" spans="1:31" ht="15.75" x14ac:dyDescent="0.25">
      <c r="A9" s="23"/>
      <c r="B9" s="261" t="s">
        <v>97</v>
      </c>
      <c r="C9" s="261" t="s">
        <v>98</v>
      </c>
      <c r="D9" s="260" t="s">
        <v>99</v>
      </c>
      <c r="E9" s="260" t="s">
        <v>100</v>
      </c>
      <c r="F9" s="260" t="s">
        <v>101</v>
      </c>
      <c r="G9" s="260" t="s">
        <v>102</v>
      </c>
      <c r="H9" s="257"/>
      <c r="I9" s="262">
        <v>2021</v>
      </c>
      <c r="J9" s="263">
        <v>2022</v>
      </c>
      <c r="K9" s="263">
        <v>2023</v>
      </c>
      <c r="L9" s="257"/>
      <c r="M9" s="263">
        <v>2022</v>
      </c>
      <c r="N9" s="263">
        <v>2023</v>
      </c>
      <c r="O9" s="257"/>
      <c r="P9" s="263">
        <v>2022</v>
      </c>
      <c r="Q9" s="263">
        <v>2023</v>
      </c>
      <c r="R9" s="257"/>
      <c r="S9" s="263" t="s">
        <v>103</v>
      </c>
      <c r="T9" s="263" t="s">
        <v>104</v>
      </c>
      <c r="U9" s="263">
        <v>2022</v>
      </c>
      <c r="V9" s="263">
        <v>2023</v>
      </c>
      <c r="W9" s="263">
        <v>2022</v>
      </c>
      <c r="X9" s="263">
        <v>2023</v>
      </c>
      <c r="Y9" s="257"/>
      <c r="Z9" s="262" t="s">
        <v>105</v>
      </c>
      <c r="AA9" s="262" t="s">
        <v>106</v>
      </c>
      <c r="AB9" s="262" t="s">
        <v>105</v>
      </c>
      <c r="AC9" s="262" t="s">
        <v>106</v>
      </c>
      <c r="AD9" s="262" t="s">
        <v>105</v>
      </c>
      <c r="AE9" s="262" t="s">
        <v>106</v>
      </c>
    </row>
    <row r="10" spans="1:31" ht="15.75" x14ac:dyDescent="0.25">
      <c r="A10" s="24" t="e" vm="1">
        <v>#VALUE!</v>
      </c>
      <c r="B10" s="31" t="str" cm="1">
        <f t="array" aca="1" ref="B10" ca="1">_FV(A10,"Ticker symbol",TRUE)</f>
        <v>005930</v>
      </c>
      <c r="C10" s="26" t="str" cm="1">
        <f t="array" aca="1" ref="C10" ca="1">_FV(A10,"Name")</f>
        <v>Samsung Electronics Co., Ltd.</v>
      </c>
      <c r="D10" s="27" cm="1">
        <f t="array" aca="1" ref="D10" ca="1">+_FV(A10,"Price")</f>
        <v>99200</v>
      </c>
      <c r="E10" s="33" cm="1">
        <f t="array" aca="1" ref="E10" ca="1">+_FV(A10,"Shares outstanding",TRUE)/1000000</f>
        <v>6735.6130000000003</v>
      </c>
      <c r="F10" s="30">
        <v>311644283</v>
      </c>
      <c r="G10" s="30" cm="1">
        <f t="array" aca="1" ref="G10" ca="1">+_FV(A10,"Market cap",TRUE)/1000000</f>
        <v>687879900</v>
      </c>
      <c r="I10" s="35">
        <v>236806988</v>
      </c>
      <c r="J10" s="35">
        <v>302231360</v>
      </c>
      <c r="K10" s="35">
        <v>258935494</v>
      </c>
      <c r="L10" s="36"/>
      <c r="M10" s="35">
        <v>81285051</v>
      </c>
      <c r="N10" s="35">
        <v>44033523</v>
      </c>
      <c r="O10" s="36"/>
      <c r="P10" s="35">
        <v>14473401</v>
      </c>
      <c r="Q10" s="35">
        <v>14473401</v>
      </c>
      <c r="S10" s="34">
        <f>+(J10-I10)/I10</f>
        <v>0.27627720175217124</v>
      </c>
      <c r="T10" s="34">
        <f>+(K10-J10)/J10</f>
        <v>-0.14325404881875925</v>
      </c>
      <c r="U10" s="34">
        <f>+M10/J10</f>
        <v>0.26894975756321249</v>
      </c>
      <c r="V10" s="34">
        <f t="shared" ref="V10" si="0">+N10/K10</f>
        <v>0.17005595609847138</v>
      </c>
      <c r="W10" s="34">
        <f>+P10/J10</f>
        <v>4.7888481857077968E-2</v>
      </c>
      <c r="X10" s="34">
        <f t="shared" ref="X10" si="1">+Q10/K10</f>
        <v>5.5895778428893185E-2</v>
      </c>
      <c r="Z10" s="37">
        <f>+$F10/J10</f>
        <v>1.0311447594319796</v>
      </c>
      <c r="AA10" s="37">
        <f>+$F10/K10</f>
        <v>1.2035595359514522</v>
      </c>
      <c r="AB10" s="37">
        <f>+$F10/M10</f>
        <v>3.8339679826245048</v>
      </c>
      <c r="AC10" s="37">
        <f t="shared" ref="AC10:AC19" si="2">+$F10/N10</f>
        <v>7.077432414390282</v>
      </c>
      <c r="AD10" s="37">
        <f ca="1">+$G10/P10</f>
        <v>47.527177613609958</v>
      </c>
      <c r="AE10" s="37">
        <f ca="1">+$G10/Q10</f>
        <v>47.527177613609958</v>
      </c>
    </row>
    <row r="11" spans="1:31" ht="3.75" customHeight="1" x14ac:dyDescent="0.25">
      <c r="A11" s="24"/>
      <c r="B11" s="31"/>
      <c r="C11" s="23"/>
      <c r="D11" s="27"/>
      <c r="E11" s="33"/>
      <c r="F11" s="30"/>
      <c r="G11" s="30"/>
      <c r="I11" s="35"/>
      <c r="J11" s="35"/>
      <c r="K11" s="35"/>
      <c r="L11" s="36"/>
      <c r="M11" s="35"/>
      <c r="N11" s="35"/>
      <c r="O11" s="36"/>
      <c r="P11" s="35"/>
      <c r="Q11" s="35"/>
      <c r="S11" s="34"/>
      <c r="T11" s="34"/>
      <c r="U11" s="34"/>
      <c r="V11" s="34"/>
      <c r="W11" s="34"/>
      <c r="X11" s="34"/>
      <c r="Z11" s="37"/>
      <c r="AA11" s="37"/>
      <c r="AB11" s="37"/>
      <c r="AC11" s="37"/>
      <c r="AD11" s="37"/>
      <c r="AE11" s="37"/>
    </row>
    <row r="12" spans="1:31" ht="15.75" x14ac:dyDescent="0.25">
      <c r="A12" s="24" t="e" vm="2">
        <v>#VALUE!</v>
      </c>
      <c r="B12" s="31" t="str" cm="1">
        <f t="array" aca="1" ref="B12" ca="1">_FV(A12,"Ticker symbol",TRUE)</f>
        <v>AAPL</v>
      </c>
      <c r="C12" s="23" t="str" cm="1">
        <f t="array" aca="1" ref="C12" ca="1">_FV(A12,"Name")</f>
        <v>APPLE INC.</v>
      </c>
      <c r="D12" s="27" cm="1">
        <f t="array" aca="1" ref="D12" ca="1">+_FV(A12,"Price")</f>
        <v>270.14</v>
      </c>
      <c r="E12" s="33" cm="1">
        <f t="array" aca="1" ref="E12" ca="1">+_FV(A12,"Shares outstanding",TRUE)/1000000</f>
        <v>14776.35</v>
      </c>
      <c r="F12" s="30">
        <v>3482431</v>
      </c>
      <c r="G12" s="30" cm="1">
        <f t="array" aca="1" ref="G12" ca="1">+_FV(A12,"Market cap",TRUE)/1000000</f>
        <v>3991683.1889999998</v>
      </c>
      <c r="I12" s="35">
        <v>365817</v>
      </c>
      <c r="J12" s="35">
        <v>394328</v>
      </c>
      <c r="K12" s="35">
        <v>391035</v>
      </c>
      <c r="L12" s="36"/>
      <c r="M12" s="35">
        <v>125820</v>
      </c>
      <c r="N12" s="35">
        <v>134661</v>
      </c>
      <c r="O12" s="36"/>
      <c r="P12" s="35">
        <v>96995</v>
      </c>
      <c r="Q12" s="35">
        <v>93736</v>
      </c>
      <c r="S12" s="34">
        <f>+(J12-I12)/I12</f>
        <v>7.7937876041846058E-2</v>
      </c>
      <c r="T12" s="34">
        <f>+(K12-J12)/J12</f>
        <v>-8.3509159887200507E-3</v>
      </c>
      <c r="U12" s="34">
        <f t="shared" ref="U12:U19" si="3">+M12/J12</f>
        <v>0.31907447607068229</v>
      </c>
      <c r="V12" s="34">
        <f t="shared" ref="V12:V19" si="4">+N12/K12</f>
        <v>0.34437070850435381</v>
      </c>
      <c r="W12" s="34">
        <f t="shared" ref="W12:W19" si="5">+P12/J12</f>
        <v>0.24597543162037694</v>
      </c>
      <c r="X12" s="34">
        <f t="shared" ref="X12:X19" si="6">+Q12/K12</f>
        <v>0.23971255769943867</v>
      </c>
      <c r="Z12" s="37">
        <f t="shared" ref="Z12:Z19" si="7">+$F12/J12</f>
        <v>8.8313054107240667</v>
      </c>
      <c r="AA12" s="37">
        <f t="shared" ref="AA12:AA19" si="8">+$F12/K12</f>
        <v>8.9056759625097506</v>
      </c>
      <c r="AB12" s="37">
        <f t="shared" ref="AB12:AB19" si="9">+$F12/M12</f>
        <v>27.677881099984106</v>
      </c>
      <c r="AC12" s="37">
        <f t="shared" si="2"/>
        <v>25.860724337410236</v>
      </c>
      <c r="AD12" s="37">
        <f t="shared" ref="AD12:AD19" ca="1" si="10">+$G12/P12</f>
        <v>41.153494396618377</v>
      </c>
      <c r="AE12" s="37">
        <f t="shared" ref="AE12:AE19" ca="1" si="11">+$G12/Q12</f>
        <v>42.584313273448835</v>
      </c>
    </row>
    <row r="13" spans="1:31" ht="15.75" x14ac:dyDescent="0.25">
      <c r="A13" s="24" t="e" vm="3">
        <v>#VALUE!</v>
      </c>
      <c r="B13" s="31" t="str" cm="1">
        <f t="array" aca="1" ref="B13" ca="1">_FV(A13,"Ticker symbol",TRUE)</f>
        <v>TSM</v>
      </c>
      <c r="C13" s="23" t="str" cm="1">
        <f t="array" aca="1" ref="C13" ca="1">_FV(A13,"Name")</f>
        <v>Taiwan Semiconductor Manufacturing Co., Ltd.</v>
      </c>
      <c r="D13" s="27" cm="1">
        <f t="array" aca="1" ref="D13" ca="1">+_FV(A13,"Price")</f>
        <v>293.95</v>
      </c>
      <c r="E13" s="33" cm="1">
        <f t="array" aca="1" ref="E13" ca="1">+_FV(A13,"Shares outstanding",TRUE)/1000000</f>
        <v>5186.5230000000001</v>
      </c>
      <c r="F13" s="30">
        <v>25082443</v>
      </c>
      <c r="G13" s="30" cm="1">
        <f t="array" aca="1" ref="G13" ca="1">+_FV(A13,"Market cap",TRUE)/1000000</f>
        <v>1262448</v>
      </c>
      <c r="I13" s="35">
        <v>1587415</v>
      </c>
      <c r="J13" s="35">
        <v>2263891</v>
      </c>
      <c r="K13" s="35">
        <v>2161736</v>
      </c>
      <c r="L13" s="36"/>
      <c r="M13" s="35">
        <v>1551476</v>
      </c>
      <c r="N13" s="35">
        <v>144889</v>
      </c>
      <c r="O13" s="36"/>
      <c r="P13" s="35">
        <v>1016530</v>
      </c>
      <c r="Q13" s="35">
        <v>838498</v>
      </c>
      <c r="S13" s="34">
        <f t="shared" ref="S13:S19" si="12">+(J13-I13)/I13</f>
        <v>0.42614943162311053</v>
      </c>
      <c r="T13" s="34">
        <f t="shared" ref="T13:T19" si="13">+(K13-J13)/J13</f>
        <v>-4.5123638903109733E-2</v>
      </c>
      <c r="U13" s="34">
        <f t="shared" si="3"/>
        <v>0.68531391308150436</v>
      </c>
      <c r="V13" s="34">
        <f t="shared" si="4"/>
        <v>6.7024373003919072E-2</v>
      </c>
      <c r="W13" s="34">
        <f t="shared" si="5"/>
        <v>0.44901896778599321</v>
      </c>
      <c r="X13" s="34">
        <f t="shared" si="6"/>
        <v>0.38788177649814781</v>
      </c>
      <c r="Z13" s="37">
        <f t="shared" si="7"/>
        <v>11.079350993488644</v>
      </c>
      <c r="AA13" s="37">
        <f t="shared" si="8"/>
        <v>11.602916822405696</v>
      </c>
      <c r="AB13" s="37">
        <f t="shared" si="9"/>
        <v>16.166826299601155</v>
      </c>
      <c r="AC13" s="37">
        <f t="shared" si="2"/>
        <v>173.11488794870556</v>
      </c>
      <c r="AD13" s="37">
        <f t="shared" ca="1" si="10"/>
        <v>1.2419190776465032</v>
      </c>
      <c r="AE13" s="37">
        <f t="shared" ca="1" si="11"/>
        <v>1.5056064534441347</v>
      </c>
    </row>
    <row r="14" spans="1:31" ht="15.75" x14ac:dyDescent="0.25">
      <c r="A14" s="24" t="e" vm="4">
        <v>#VALUE!</v>
      </c>
      <c r="B14" s="31" t="str" cm="1">
        <f t="array" aca="1" ref="B14" ca="1">_FV(A14,"Ticker symbol",TRUE)</f>
        <v>INTC</v>
      </c>
      <c r="C14" s="23" t="str" cm="1">
        <f t="array" aca="1" ref="C14" ca="1">_FV(A14,"Name")</f>
        <v>INTEL CORPORATION</v>
      </c>
      <c r="D14" s="27" cm="1">
        <f t="array" aca="1" ref="D14" ca="1">+_FV(A14,"Price")</f>
        <v>38.380000000000003</v>
      </c>
      <c r="E14" s="33" cm="1">
        <f t="array" aca="1" ref="E14" ca="1">+_FV(A14,"Shares outstanding",TRUE)/1000000</f>
        <v>4766</v>
      </c>
      <c r="F14" s="30">
        <v>137766</v>
      </c>
      <c r="G14" s="30" cm="1">
        <f t="array" aca="1" ref="G14" ca="1">+_FV(A14,"Market cap",TRUE)/1000000</f>
        <v>182919.08</v>
      </c>
      <c r="I14" s="35">
        <v>79020</v>
      </c>
      <c r="J14" s="35">
        <v>63050</v>
      </c>
      <c r="K14" s="35">
        <v>54230</v>
      </c>
      <c r="L14" s="36"/>
      <c r="M14" s="35">
        <v>15369</v>
      </c>
      <c r="N14" s="35">
        <v>9695</v>
      </c>
      <c r="O14" s="36"/>
      <c r="P14" s="35">
        <v>8014</v>
      </c>
      <c r="Q14" s="35">
        <v>1689</v>
      </c>
      <c r="S14" s="34">
        <f t="shared" si="12"/>
        <v>-0.20210073399139458</v>
      </c>
      <c r="T14" s="34">
        <f t="shared" si="13"/>
        <v>-0.13988897700237907</v>
      </c>
      <c r="U14" s="34">
        <f t="shared" si="3"/>
        <v>0.24375892149088024</v>
      </c>
      <c r="V14" s="34">
        <f t="shared" si="4"/>
        <v>0.17877558546929745</v>
      </c>
      <c r="W14" s="34">
        <f t="shared" si="5"/>
        <v>0.12710547184773988</v>
      </c>
      <c r="X14" s="34">
        <f t="shared" si="6"/>
        <v>3.1145122625852849E-2</v>
      </c>
      <c r="Z14" s="37">
        <f t="shared" si="7"/>
        <v>2.1850277557494051</v>
      </c>
      <c r="AA14" s="37">
        <f t="shared" si="8"/>
        <v>2.5404019915176104</v>
      </c>
      <c r="AB14" s="37">
        <f t="shared" si="9"/>
        <v>8.9638883466718724</v>
      </c>
      <c r="AC14" s="37">
        <f t="shared" si="2"/>
        <v>14.210005157297577</v>
      </c>
      <c r="AD14" s="37">
        <f t="shared" ca="1" si="10"/>
        <v>22.824941352632891</v>
      </c>
      <c r="AE14" s="37">
        <f t="shared" ca="1" si="11"/>
        <v>108.30022498519834</v>
      </c>
    </row>
    <row r="15" spans="1:31" ht="15.75" x14ac:dyDescent="0.25">
      <c r="A15" s="24" t="e" vm="5">
        <v>#VALUE!</v>
      </c>
      <c r="B15" s="31" t="str" cm="1">
        <f t="array" aca="1" ref="B15" ca="1">_FV(A15,"Ticker symbol",TRUE)</f>
        <v>000660</v>
      </c>
      <c r="C15" s="23" t="str" cm="1">
        <f t="array" aca="1" ref="C15" ca="1">_FV(A15,"Name")</f>
        <v>SK hynix Inc.</v>
      </c>
      <c r="D15" s="28" cm="1">
        <f t="array" aca="1" ref="D15" ca="1">+_FV(A15,"Price")</f>
        <v>593000</v>
      </c>
      <c r="E15" s="33" cm="1">
        <f t="array" aca="1" ref="E15" ca="1">+_FV(A15,"Shares outstanding",TRUE)/1000000</f>
        <v>728.00239999999997</v>
      </c>
      <c r="F15" s="30">
        <v>135534110</v>
      </c>
      <c r="G15" s="30" cm="1">
        <f t="array" aca="1" ref="G15" ca="1">+_FV(A15,"Market cap",TRUE)/1000000</f>
        <v>426609400</v>
      </c>
      <c r="I15" s="36">
        <v>42997792</v>
      </c>
      <c r="J15" s="35">
        <v>44621568</v>
      </c>
      <c r="K15" s="35">
        <v>32756719</v>
      </c>
      <c r="L15" s="36"/>
      <c r="M15" s="35">
        <v>20325873</v>
      </c>
      <c r="N15" s="35">
        <v>5300545</v>
      </c>
      <c r="O15" s="36"/>
      <c r="P15" s="35">
        <v>2229560</v>
      </c>
      <c r="Q15" s="35">
        <v>-9112428</v>
      </c>
      <c r="S15" s="34">
        <f t="shared" si="12"/>
        <v>3.7764171704444731E-2</v>
      </c>
      <c r="T15" s="34">
        <f t="shared" si="13"/>
        <v>-0.26589941886398971</v>
      </c>
      <c r="U15" s="34">
        <f t="shared" si="3"/>
        <v>0.45551678058467154</v>
      </c>
      <c r="V15" s="34">
        <f t="shared" si="4"/>
        <v>0.16181550417183113</v>
      </c>
      <c r="W15" s="34">
        <f t="shared" si="5"/>
        <v>4.9965971612651532E-2</v>
      </c>
      <c r="X15" s="34">
        <f t="shared" si="6"/>
        <v>-0.27818500381555306</v>
      </c>
      <c r="Z15" s="37">
        <f t="shared" si="7"/>
        <v>3.0374125355702426</v>
      </c>
      <c r="AA15" s="37">
        <f t="shared" si="8"/>
        <v>4.1375972361578706</v>
      </c>
      <c r="AB15" s="37">
        <f t="shared" si="9"/>
        <v>6.6680584888039007</v>
      </c>
      <c r="AC15" s="37">
        <f t="shared" si="2"/>
        <v>25.569844232998683</v>
      </c>
      <c r="AD15" s="37">
        <f t="shared" ca="1" si="10"/>
        <v>191.34241733795008</v>
      </c>
      <c r="AE15" s="37">
        <f t="shared" ca="1" si="11"/>
        <v>-46.816216270789738</v>
      </c>
    </row>
    <row r="16" spans="1:31" ht="15.75" x14ac:dyDescent="0.25">
      <c r="A16" s="24" t="e" vm="6">
        <v>#VALUE!</v>
      </c>
      <c r="B16" s="31" t="str" cm="1">
        <f t="array" aca="1" ref="B16" ca="1">_FV(A16,"Ticker symbol",TRUE)</f>
        <v>SONY</v>
      </c>
      <c r="C16" s="23" t="str" cm="1">
        <f t="array" aca="1" ref="C16" ca="1">_FV(A16,"Name")</f>
        <v>Sony Group Corporation</v>
      </c>
      <c r="D16" s="27" cm="1">
        <f t="array" aca="1" ref="D16" ca="1">+_FV(A16,"Price")</f>
        <v>28.08</v>
      </c>
      <c r="E16" s="33" cm="1">
        <f t="array" aca="1" ref="E16" ca="1">+_FV(A16,"Shares outstanding",TRUE)/1000000</f>
        <v>6149.8109999999997</v>
      </c>
      <c r="F16" s="30">
        <v>20204125</v>
      </c>
      <c r="G16" s="30" cm="1">
        <f t="array" aca="1" ref="G16" ca="1">+_FV(A16,"Market cap",TRUE)/1000000</f>
        <v>171282.3</v>
      </c>
      <c r="I16" s="35">
        <v>9921513</v>
      </c>
      <c r="J16" s="35">
        <v>10974373</v>
      </c>
      <c r="K16" s="35">
        <v>13020768</v>
      </c>
      <c r="L16" s="36"/>
      <c r="M16" s="35">
        <v>1597469</v>
      </c>
      <c r="N16" s="35">
        <v>1547616</v>
      </c>
      <c r="O16" s="36"/>
      <c r="P16" s="35">
        <v>1005277</v>
      </c>
      <c r="Q16" s="35">
        <v>970573</v>
      </c>
      <c r="S16" s="34">
        <f t="shared" si="12"/>
        <v>0.10611889537412288</v>
      </c>
      <c r="T16" s="34">
        <f t="shared" si="13"/>
        <v>0.1864703341138487</v>
      </c>
      <c r="U16" s="34">
        <f t="shared" si="3"/>
        <v>0.14556357798299729</v>
      </c>
      <c r="V16" s="34">
        <f t="shared" si="4"/>
        <v>0.11885750517941798</v>
      </c>
      <c r="W16" s="34">
        <f t="shared" si="5"/>
        <v>9.1602226386874222E-2</v>
      </c>
      <c r="X16" s="34">
        <f t="shared" si="6"/>
        <v>7.4540380413812765E-2</v>
      </c>
      <c r="Z16" s="37">
        <f t="shared" si="7"/>
        <v>1.84102772887344</v>
      </c>
      <c r="AA16" s="37">
        <f t="shared" si="8"/>
        <v>1.5516845857325774</v>
      </c>
      <c r="AB16" s="37">
        <f>+$F16/M16</f>
        <v>12.647585023559143</v>
      </c>
      <c r="AC16" s="37">
        <f t="shared" si="2"/>
        <v>13.054998785228378</v>
      </c>
      <c r="AD16" s="37">
        <f t="shared" ca="1" si="10"/>
        <v>0.17038318791736007</v>
      </c>
      <c r="AE16" s="37">
        <f t="shared" ca="1" si="11"/>
        <v>0.17647544285695149</v>
      </c>
    </row>
    <row r="17" spans="1:31" ht="15.75" x14ac:dyDescent="0.25">
      <c r="A17" s="24" t="e" vm="7">
        <v>#VALUE!</v>
      </c>
      <c r="B17" s="31" t="str" cm="1">
        <f t="array" aca="1" ref="B17" ca="1">_FV(A17,"Ticker symbol",TRUE)</f>
        <v>MU</v>
      </c>
      <c r="C17" s="23" t="str" cm="1">
        <f t="array" aca="1" ref="C17" ca="1">_FV(A17,"Name")</f>
        <v>MICRON TECHNOLOGY, INC.</v>
      </c>
      <c r="D17" s="27" cm="1">
        <f t="array" aca="1" ref="D17" ca="1">+_FV(A17,"Price")</f>
        <v>237.5</v>
      </c>
      <c r="E17" s="33" cm="1">
        <f t="array" aca="1" ref="E17" ca="1">+_FV(A17,"Shares outstanding",TRUE)/1000000</f>
        <v>1122.4659999999999</v>
      </c>
      <c r="F17" s="30">
        <v>120767</v>
      </c>
      <c r="G17" s="30" cm="1">
        <f t="array" aca="1" ref="G17" ca="1">+_FV(A17,"Market cap",TRUE)/1000000</f>
        <v>266585.67499999999</v>
      </c>
      <c r="I17" s="35">
        <v>30758</v>
      </c>
      <c r="J17" s="35">
        <v>15540</v>
      </c>
      <c r="K17" s="35">
        <v>25111</v>
      </c>
      <c r="L17" s="36"/>
      <c r="M17" s="35">
        <v>2211</v>
      </c>
      <c r="N17" s="35">
        <v>8944</v>
      </c>
      <c r="O17" s="36"/>
      <c r="P17" s="35">
        <v>-5833</v>
      </c>
      <c r="Q17" s="35">
        <v>778</v>
      </c>
      <c r="S17" s="34">
        <f t="shared" si="12"/>
        <v>-0.49476558944014565</v>
      </c>
      <c r="T17" s="34">
        <f t="shared" si="13"/>
        <v>0.61589446589446595</v>
      </c>
      <c r="U17" s="34">
        <f t="shared" si="3"/>
        <v>0.14227799227799229</v>
      </c>
      <c r="V17" s="34">
        <f t="shared" si="4"/>
        <v>0.35617856716180157</v>
      </c>
      <c r="W17" s="34">
        <f t="shared" si="5"/>
        <v>-0.37535392535392537</v>
      </c>
      <c r="X17" s="34">
        <f t="shared" si="6"/>
        <v>3.0982437975389271E-2</v>
      </c>
      <c r="Z17" s="37">
        <f t="shared" si="7"/>
        <v>7.7713642213642213</v>
      </c>
      <c r="AA17" s="37">
        <f t="shared" si="8"/>
        <v>4.8093265899406639</v>
      </c>
      <c r="AB17" s="37">
        <f t="shared" si="9"/>
        <v>54.620985979194934</v>
      </c>
      <c r="AC17" s="37">
        <f t="shared" si="2"/>
        <v>13.502571556350626</v>
      </c>
      <c r="AD17" s="37">
        <f t="shared" ca="1" si="10"/>
        <v>-45.703013029315962</v>
      </c>
      <c r="AE17" s="37">
        <f t="shared" ca="1" si="11"/>
        <v>342.65510925449871</v>
      </c>
    </row>
    <row r="18" spans="1:31" ht="15.75" x14ac:dyDescent="0.25">
      <c r="A18" s="24" t="e" vm="8">
        <v>#VALUE!</v>
      </c>
      <c r="B18" s="31" t="str" cm="1">
        <f t="array" aca="1" ref="B18" ca="1">_FV(A18,"Ticker symbol",TRUE)</f>
        <v>066570</v>
      </c>
      <c r="C18" s="23" t="str" cm="1">
        <f t="array" aca="1" ref="C18" ca="1">_FV(A18,"Name")</f>
        <v>LG ELECTRONICS INC.</v>
      </c>
      <c r="D18" s="28" cm="1">
        <f t="array" aca="1" ref="D18" ca="1">+_FV(A18,"Price")</f>
        <v>91700</v>
      </c>
      <c r="E18" s="33" cm="1">
        <f t="array" aca="1" ref="E18" ca="1">+_FV(A18,"Shares outstanding",TRUE)/1000000</f>
        <v>180.07239999999999</v>
      </c>
      <c r="F18" s="30">
        <v>27766663</v>
      </c>
      <c r="G18" s="30" cm="1">
        <f t="array" aca="1" ref="G18" ca="1">+_FV(A18,"Market cap",TRUE)/1000000</f>
        <v>15229200</v>
      </c>
      <c r="I18" s="35">
        <v>73907984</v>
      </c>
      <c r="J18" s="35">
        <v>83467318</v>
      </c>
      <c r="K18" s="35">
        <v>84227765</v>
      </c>
      <c r="L18" s="36"/>
      <c r="M18" s="35">
        <v>6536092</v>
      </c>
      <c r="N18" s="35">
        <v>6767352</v>
      </c>
      <c r="O18" s="36"/>
      <c r="P18" s="35">
        <v>1196442</v>
      </c>
      <c r="Q18" s="35">
        <v>712902</v>
      </c>
      <c r="S18" s="34">
        <f t="shared" si="12"/>
        <v>0.12934101950338681</v>
      </c>
      <c r="T18" s="34">
        <f t="shared" si="13"/>
        <v>9.1107156456135315E-3</v>
      </c>
      <c r="U18" s="34">
        <f t="shared" si="3"/>
        <v>7.8307200430233065E-2</v>
      </c>
      <c r="V18" s="34">
        <f t="shared" si="4"/>
        <v>8.0345857449737629E-2</v>
      </c>
      <c r="W18" s="34">
        <f t="shared" si="5"/>
        <v>1.4334257152002896E-2</v>
      </c>
      <c r="X18" s="34">
        <f t="shared" si="6"/>
        <v>8.463978594231961E-3</v>
      </c>
      <c r="Z18" s="37">
        <f t="shared" si="7"/>
        <v>0.33266509174285436</v>
      </c>
      <c r="AA18" s="37">
        <f t="shared" si="8"/>
        <v>0.32966163829706274</v>
      </c>
      <c r="AB18" s="37">
        <f t="shared" si="9"/>
        <v>4.2482056556119465</v>
      </c>
      <c r="AC18" s="37">
        <f t="shared" si="2"/>
        <v>4.1030321756574804</v>
      </c>
      <c r="AD18" s="37">
        <f t="shared" ca="1" si="10"/>
        <v>12.728740716223603</v>
      </c>
      <c r="AE18" s="37">
        <f t="shared" ca="1" si="11"/>
        <v>21.362262975836792</v>
      </c>
    </row>
    <row r="19" spans="1:31" ht="15.75" x14ac:dyDescent="0.25">
      <c r="A19" s="24" t="e" vm="9">
        <v>#VALUE!</v>
      </c>
      <c r="B19" s="31" t="str" cm="1">
        <f t="array" aca="1" ref="B19" ca="1">_FV(A19,"Ticker symbol",TRUE)</f>
        <v>1810</v>
      </c>
      <c r="C19" s="23" t="str" cm="1">
        <f t="array" aca="1" ref="C19" ca="1">_FV(A19,"Name")</f>
        <v>XIAOMI CORPORATION</v>
      </c>
      <c r="D19" s="29" cm="1">
        <f t="array" aca="1" ref="D19" ca="1">+_FV(A19,"Price")</f>
        <v>43.44</v>
      </c>
      <c r="E19" s="33" cm="1">
        <f t="array" aca="1" ref="E19" ca="1">+_FV(A19,"Shares outstanding",TRUE)/1000000</f>
        <v>26069.27</v>
      </c>
      <c r="F19" s="30">
        <v>555964</v>
      </c>
      <c r="G19" s="30" cm="1">
        <f t="array" aca="1" ref="G19" ca="1">+_FV(A19,"Market cap",TRUE)/1000000</f>
        <v>1131928</v>
      </c>
      <c r="I19" s="35">
        <v>328309</v>
      </c>
      <c r="J19" s="35">
        <v>280044</v>
      </c>
      <c r="K19" s="35">
        <v>270970</v>
      </c>
      <c r="L19" s="36"/>
      <c r="M19" s="35">
        <v>8534</v>
      </c>
      <c r="N19" s="35">
        <v>18294</v>
      </c>
      <c r="O19" s="36"/>
      <c r="P19" s="35">
        <v>2474</v>
      </c>
      <c r="Q19" s="35">
        <v>17475</v>
      </c>
      <c r="S19" s="34">
        <f t="shared" si="12"/>
        <v>-0.14701089522370694</v>
      </c>
      <c r="T19" s="34">
        <f t="shared" si="13"/>
        <v>-3.2402051106254728E-2</v>
      </c>
      <c r="U19" s="34">
        <f t="shared" si="3"/>
        <v>3.0473782691291369E-2</v>
      </c>
      <c r="V19" s="34">
        <f t="shared" si="4"/>
        <v>6.7513008820164588E-2</v>
      </c>
      <c r="W19" s="34">
        <f t="shared" si="5"/>
        <v>8.8343260344802953E-3</v>
      </c>
      <c r="X19" s="34">
        <f t="shared" si="6"/>
        <v>6.4490534007454706E-2</v>
      </c>
      <c r="Z19" s="37">
        <f t="shared" si="7"/>
        <v>1.9852737426975762</v>
      </c>
      <c r="AA19" s="37">
        <f t="shared" si="8"/>
        <v>2.0517548068051812</v>
      </c>
      <c r="AB19" s="37">
        <f t="shared" si="9"/>
        <v>65.146941645183972</v>
      </c>
      <c r="AC19" s="37">
        <f t="shared" si="2"/>
        <v>30.390510549907074</v>
      </c>
      <c r="AD19" s="37">
        <f t="shared" ca="1" si="10"/>
        <v>457.52950687146324</v>
      </c>
      <c r="AE19" s="37">
        <f t="shared" ca="1" si="11"/>
        <v>64.77413447782547</v>
      </c>
    </row>
    <row r="20" spans="1:31" ht="3.75" customHeight="1" x14ac:dyDescent="0.25">
      <c r="I20" s="19"/>
      <c r="J20" s="19"/>
      <c r="K20" s="19"/>
      <c r="M20" s="19"/>
      <c r="N20" s="19"/>
      <c r="P20" s="19"/>
      <c r="Q20" s="19"/>
    </row>
    <row r="21" spans="1:31" x14ac:dyDescent="0.25">
      <c r="B21" s="22" t="s">
        <v>107</v>
      </c>
      <c r="C21" s="22"/>
      <c r="D21" s="22"/>
      <c r="E21" s="22"/>
      <c r="F21" s="22"/>
      <c r="G21" s="22"/>
      <c r="H21" s="22"/>
      <c r="I21" s="22"/>
      <c r="J21" s="22"/>
      <c r="K21" s="22"/>
      <c r="L21" s="22"/>
      <c r="M21" s="22"/>
      <c r="N21" s="22"/>
      <c r="O21" s="22"/>
      <c r="P21" s="22"/>
      <c r="Q21" s="22"/>
      <c r="R21" s="22"/>
      <c r="S21" s="147">
        <f>AVERAGE(S12:S19)</f>
        <v>-8.3207280510420242E-3</v>
      </c>
      <c r="T21" s="147">
        <f t="shared" ref="T21:X21" si="14">AVERAGE(T12:T19)</f>
        <v>3.9976314223684369E-2</v>
      </c>
      <c r="U21" s="147">
        <f t="shared" si="14"/>
        <v>0.26253583057628155</v>
      </c>
      <c r="V21" s="147">
        <f t="shared" si="14"/>
        <v>0.17186013872006539</v>
      </c>
      <c r="W21" s="147">
        <f t="shared" si="14"/>
        <v>7.6435340885774194E-2</v>
      </c>
      <c r="X21" s="147">
        <f t="shared" si="14"/>
        <v>6.9878972999846883E-2</v>
      </c>
      <c r="Y21" s="148"/>
      <c r="Z21" s="149">
        <f t="shared" ref="Z21:AE21" si="15">AVERAGE(Z12:Z19)</f>
        <v>4.6329284350263062</v>
      </c>
      <c r="AA21" s="149">
        <f t="shared" si="15"/>
        <v>4.4911274541708002</v>
      </c>
      <c r="AB21" s="149">
        <f t="shared" si="15"/>
        <v>24.517546567326377</v>
      </c>
      <c r="AC21" s="149">
        <f t="shared" si="15"/>
        <v>37.475821842944448</v>
      </c>
      <c r="AD21" s="149">
        <f t="shared" ca="1" si="15"/>
        <v>85.161048738892006</v>
      </c>
      <c r="AE21" s="149">
        <f t="shared" ca="1" si="15"/>
        <v>66.817738824039935</v>
      </c>
    </row>
    <row r="22" spans="1:31" x14ac:dyDescent="0.25">
      <c r="B22" s="22" t="s">
        <v>108</v>
      </c>
      <c r="C22" s="22"/>
      <c r="D22" s="22"/>
      <c r="E22" s="22"/>
      <c r="F22" s="22"/>
      <c r="G22" s="22"/>
      <c r="H22" s="22"/>
      <c r="I22" s="22"/>
      <c r="J22" s="22"/>
      <c r="K22" s="22"/>
      <c r="L22" s="22"/>
      <c r="M22" s="22"/>
      <c r="N22" s="22"/>
      <c r="O22" s="22"/>
      <c r="P22" s="22"/>
      <c r="Q22" s="22"/>
      <c r="R22" s="22"/>
      <c r="S22" s="147">
        <f>MEDIAN(S12:S19)</f>
        <v>5.7851023873145391E-2</v>
      </c>
      <c r="T22" s="147">
        <f t="shared" ref="T22:X22" si="16">MEDIAN(T12:T19)</f>
        <v>-2.037648354748739E-2</v>
      </c>
      <c r="U22" s="147">
        <f t="shared" si="16"/>
        <v>0.19466124973693877</v>
      </c>
      <c r="V22" s="147">
        <f t="shared" si="16"/>
        <v>0.14033650467562456</v>
      </c>
      <c r="W22" s="147">
        <f t="shared" si="16"/>
        <v>7.0784098999762873E-2</v>
      </c>
      <c r="X22" s="147">
        <f t="shared" si="16"/>
        <v>4.7817828316653779E-2</v>
      </c>
      <c r="Y22" s="148"/>
      <c r="Z22" s="149">
        <f t="shared" ref="Z22:AE22" si="17">MEDIAN(Z12:Z19)</f>
        <v>2.6112201456598241</v>
      </c>
      <c r="AA22" s="149">
        <f t="shared" si="17"/>
        <v>3.3389996138377405</v>
      </c>
      <c r="AB22" s="149">
        <f t="shared" si="17"/>
        <v>14.40720566158015</v>
      </c>
      <c r="AC22" s="149">
        <f t="shared" si="17"/>
        <v>19.889924695148132</v>
      </c>
      <c r="AD22" s="149">
        <f t="shared" ca="1" si="17"/>
        <v>17.776841034428248</v>
      </c>
      <c r="AE22" s="149">
        <f t="shared" ca="1" si="17"/>
        <v>31.973288124642814</v>
      </c>
    </row>
    <row r="24" spans="1:31" x14ac:dyDescent="0.25">
      <c r="B24" s="257"/>
      <c r="C24" s="257"/>
      <c r="D24" s="312" t="s">
        <v>109</v>
      </c>
      <c r="E24" s="312"/>
      <c r="F24" s="312"/>
      <c r="G24" s="257"/>
      <c r="H24" s="312" t="s">
        <v>110</v>
      </c>
      <c r="I24" s="312"/>
      <c r="J24" s="312"/>
      <c r="K24" s="257"/>
      <c r="L24" s="312" t="s">
        <v>70</v>
      </c>
      <c r="M24" s="312"/>
      <c r="N24" s="312"/>
      <c r="O24" s="257"/>
      <c r="P24" s="257"/>
      <c r="Q24" s="257"/>
      <c r="R24" s="257"/>
      <c r="S24" s="257"/>
      <c r="T24" s="257"/>
      <c r="U24" s="257"/>
      <c r="V24" s="312" t="s">
        <v>75</v>
      </c>
      <c r="W24" s="312"/>
      <c r="X24" s="312"/>
      <c r="Y24" s="257"/>
      <c r="Z24" s="257"/>
      <c r="AA24" s="312" t="s">
        <v>111</v>
      </c>
      <c r="AB24" s="312"/>
      <c r="AC24" s="312"/>
      <c r="AD24" s="257"/>
      <c r="AE24" s="257"/>
    </row>
    <row r="25" spans="1:31" x14ac:dyDescent="0.25">
      <c r="B25" s="264" t="s">
        <v>112</v>
      </c>
      <c r="C25" s="257"/>
      <c r="D25" s="263" t="s">
        <v>5</v>
      </c>
      <c r="E25" s="263" t="s">
        <v>89</v>
      </c>
      <c r="F25" s="263" t="s">
        <v>113</v>
      </c>
      <c r="G25" s="257"/>
      <c r="H25" s="263" t="s">
        <v>5</v>
      </c>
      <c r="I25" s="263" t="s">
        <v>89</v>
      </c>
      <c r="J25" s="263" t="s">
        <v>114</v>
      </c>
      <c r="K25" s="257"/>
      <c r="L25" s="263" t="s">
        <v>5</v>
      </c>
      <c r="M25" s="263" t="s">
        <v>89</v>
      </c>
      <c r="N25" s="263" t="s">
        <v>90</v>
      </c>
      <c r="O25" s="257"/>
      <c r="P25" s="265" t="s">
        <v>115</v>
      </c>
      <c r="Q25" s="265" t="s">
        <v>116</v>
      </c>
      <c r="R25" s="265" t="s">
        <v>117</v>
      </c>
      <c r="S25" s="265" t="s">
        <v>118</v>
      </c>
      <c r="T25" s="265" t="s">
        <v>119</v>
      </c>
      <c r="U25" s="257"/>
      <c r="V25" s="263" t="s">
        <v>5</v>
      </c>
      <c r="W25" s="263" t="s">
        <v>89</v>
      </c>
      <c r="X25" s="263" t="s">
        <v>90</v>
      </c>
      <c r="Y25" s="257"/>
      <c r="Z25" s="257"/>
      <c r="AA25" s="263" t="s">
        <v>5</v>
      </c>
      <c r="AB25" s="263" t="s">
        <v>89</v>
      </c>
      <c r="AC25" s="263" t="s">
        <v>90</v>
      </c>
      <c r="AD25" s="257"/>
      <c r="AE25" s="257"/>
    </row>
    <row r="26" spans="1:31" ht="15.75" x14ac:dyDescent="0.25">
      <c r="B26" s="21" t="s">
        <v>120</v>
      </c>
      <c r="D26" s="20">
        <f>MIN(AA10:AA19)</f>
        <v>0.32966163829706274</v>
      </c>
      <c r="E26" s="20">
        <f>MIN(AC10:AC19)</f>
        <v>4.1030321756574804</v>
      </c>
      <c r="F26" s="20">
        <f ca="1">MIN(AE10:AE19)</f>
        <v>-46.816216270789738</v>
      </c>
      <c r="H26" s="19">
        <f>+$K$10</f>
        <v>258935494</v>
      </c>
      <c r="I26" s="19">
        <f>+$N$10</f>
        <v>44033523</v>
      </c>
      <c r="J26" s="32">
        <f ca="1">+$Q$10/$E$10</f>
        <v>2148.7874971439123</v>
      </c>
      <c r="L26" s="39">
        <f>+D26*H26</f>
        <v>85361099.165299267</v>
      </c>
      <c r="M26" s="39">
        <f>+E26*I26</f>
        <v>180670961.6765537</v>
      </c>
      <c r="N26" s="40" t="s">
        <v>121</v>
      </c>
      <c r="P26" s="25">
        <v>49844</v>
      </c>
      <c r="Q26" s="25">
        <v>16481</v>
      </c>
      <c r="R26" s="25">
        <v>31644</v>
      </c>
      <c r="S26" s="41">
        <f ca="1">+$E$10</f>
        <v>6735.6130000000003</v>
      </c>
      <c r="T26" s="41">
        <v>11947</v>
      </c>
      <c r="V26" s="39">
        <f ca="1">+L26+P26-Q26-R26-S26</f>
        <v>85356082.552299261</v>
      </c>
      <c r="W26" s="39">
        <f ca="1">+M26+P26-Q26-R26-S26</f>
        <v>180665945.06355369</v>
      </c>
      <c r="X26" s="39">
        <f ca="1">+J26*T26*F26</f>
        <v>-1201845502.9252291</v>
      </c>
      <c r="AA26" s="42">
        <f t="shared" ref="AA26:AB30" ca="1" si="18">+V26/$T26</f>
        <v>7144.56202831667</v>
      </c>
      <c r="AB26" s="42">
        <f t="shared" ca="1" si="18"/>
        <v>15122.285516326583</v>
      </c>
      <c r="AC26" s="42">
        <f ca="1">+X26/T26</f>
        <v>-100598.10018625839</v>
      </c>
    </row>
    <row r="27" spans="1:31" ht="15.75" x14ac:dyDescent="0.25">
      <c r="B27" s="21" t="s">
        <v>107</v>
      </c>
      <c r="D27" s="38">
        <f>AA21</f>
        <v>4.4911274541708002</v>
      </c>
      <c r="E27" s="38">
        <f>AC21</f>
        <v>37.475821842944448</v>
      </c>
      <c r="F27" s="38">
        <f ca="1">AE21</f>
        <v>66.817738824039935</v>
      </c>
      <c r="H27" s="19">
        <f t="shared" ref="H27:H30" si="19">+$K$10</f>
        <v>258935494</v>
      </c>
      <c r="I27" s="19">
        <f t="shared" ref="I27:I30" si="20">+$N$10</f>
        <v>44033523</v>
      </c>
      <c r="J27" s="32">
        <f t="shared" ref="J27:J30" ca="1" si="21">+$Q$10/$E$10</f>
        <v>2148.7874971439123</v>
      </c>
      <c r="L27" s="39">
        <f t="shared" ref="L27:L29" si="22">+D27*H27</f>
        <v>1162912305.9626784</v>
      </c>
      <c r="M27" s="39">
        <f t="shared" ref="M27:M29" si="23">+E27*I27</f>
        <v>1650192463.0651968</v>
      </c>
      <c r="N27" s="40" t="s">
        <v>121</v>
      </c>
      <c r="P27" s="25">
        <v>49844</v>
      </c>
      <c r="Q27" s="25">
        <v>16481</v>
      </c>
      <c r="R27" s="25">
        <v>31644</v>
      </c>
      <c r="S27" s="41">
        <f t="shared" ref="S27:S30" ca="1" si="24">+$E$10</f>
        <v>6735.6130000000003</v>
      </c>
      <c r="T27" s="41">
        <v>11947</v>
      </c>
      <c r="V27" s="39">
        <f t="shared" ref="V27:V30" ca="1" si="25">+L27+P27-Q27-R27-S27</f>
        <v>1162907289.3496785</v>
      </c>
      <c r="W27" s="39">
        <f ca="1">+M27+P27-Q27-R27-S27</f>
        <v>1650187446.4521968</v>
      </c>
      <c r="X27" s="39">
        <f t="shared" ref="X27:X30" ca="1" si="26">+J27*T27*F27</f>
        <v>1715315873.816349</v>
      </c>
      <c r="AA27" s="42">
        <f t="shared" ca="1" si="18"/>
        <v>97338.854051199334</v>
      </c>
      <c r="AB27" s="42">
        <f t="shared" ca="1" si="18"/>
        <v>138125.67560493821</v>
      </c>
      <c r="AC27" s="42">
        <f t="shared" ref="AC27:AC28" ca="1" si="27">+X27/T27</f>
        <v>143577.12177252441</v>
      </c>
    </row>
    <row r="28" spans="1:31" ht="15.75" x14ac:dyDescent="0.25">
      <c r="B28" s="21" t="s">
        <v>108</v>
      </c>
      <c r="D28" s="38">
        <f>AA22</f>
        <v>3.3389996138377405</v>
      </c>
      <c r="E28" s="38">
        <f>AC22</f>
        <v>19.889924695148132</v>
      </c>
      <c r="F28" s="38">
        <f ca="1">AE22</f>
        <v>31.973288124642814</v>
      </c>
      <c r="H28" s="19">
        <f t="shared" si="19"/>
        <v>258935494</v>
      </c>
      <c r="I28" s="19">
        <f t="shared" si="20"/>
        <v>44033523</v>
      </c>
      <c r="J28" s="32">
        <f t="shared" ca="1" si="21"/>
        <v>2148.7874971439123</v>
      </c>
      <c r="L28" s="39">
        <f t="shared" si="22"/>
        <v>864585514.47488451</v>
      </c>
      <c r="M28" s="39">
        <f t="shared" si="23"/>
        <v>875823456.53207326</v>
      </c>
      <c r="N28" s="40" t="s">
        <v>121</v>
      </c>
      <c r="P28" s="25">
        <v>49844</v>
      </c>
      <c r="Q28" s="25">
        <v>16481</v>
      </c>
      <c r="R28" s="25">
        <v>31644</v>
      </c>
      <c r="S28" s="41">
        <f t="shared" ca="1" si="24"/>
        <v>6735.6130000000003</v>
      </c>
      <c r="T28" s="41">
        <v>11947</v>
      </c>
      <c r="V28" s="39">
        <f t="shared" ca="1" si="25"/>
        <v>864580497.86188447</v>
      </c>
      <c r="W28" s="39">
        <f ca="1">+M28+P28-Q28-R28-S28</f>
        <v>875818439.91907322</v>
      </c>
      <c r="X28" s="39">
        <f t="shared" ca="1" si="26"/>
        <v>820804319.68421388</v>
      </c>
      <c r="AA28" s="42">
        <f t="shared" ca="1" si="18"/>
        <v>72368.000155845351</v>
      </c>
      <c r="AB28" s="42">
        <f t="shared" ca="1" si="18"/>
        <v>73308.649863486498</v>
      </c>
      <c r="AC28" s="42">
        <f t="shared" ca="1" si="27"/>
        <v>68703.801764812408</v>
      </c>
    </row>
    <row r="29" spans="1:31" ht="15.75" x14ac:dyDescent="0.25">
      <c r="B29" s="21" t="s">
        <v>122</v>
      </c>
      <c r="D29" s="20">
        <f>MAX(AA10:AA19)</f>
        <v>11.602916822405696</v>
      </c>
      <c r="E29" s="38">
        <f>MAX(AC10:AC19)</f>
        <v>173.11488794870556</v>
      </c>
      <c r="F29" s="20">
        <f ca="1">MAX(AE10:AE19)</f>
        <v>342.65510925449871</v>
      </c>
      <c r="H29" s="19">
        <f t="shared" si="19"/>
        <v>258935494</v>
      </c>
      <c r="I29" s="19">
        <f t="shared" si="20"/>
        <v>44033523</v>
      </c>
      <c r="J29" s="32">
        <f t="shared" ca="1" si="21"/>
        <v>2148.7874971439123</v>
      </c>
      <c r="L29" s="39">
        <f t="shared" si="22"/>
        <v>3004406999.2505293</v>
      </c>
      <c r="M29" s="39">
        <f t="shared" si="23"/>
        <v>7622858400.1317492</v>
      </c>
      <c r="N29" s="40" t="s">
        <v>121</v>
      </c>
      <c r="P29" s="25">
        <v>49844</v>
      </c>
      <c r="Q29" s="25">
        <v>16481</v>
      </c>
      <c r="R29" s="25">
        <v>31644</v>
      </c>
      <c r="S29" s="41">
        <f t="shared" ca="1" si="24"/>
        <v>6735.6130000000003</v>
      </c>
      <c r="T29" s="41">
        <v>11947</v>
      </c>
      <c r="V29" s="39">
        <f t="shared" ca="1" si="25"/>
        <v>3004401982.6375294</v>
      </c>
      <c r="W29" s="39">
        <f ca="1">+M29+P29-Q29-R29-S29</f>
        <v>7622853383.5187492</v>
      </c>
      <c r="X29" s="39">
        <f t="shared" ca="1" si="26"/>
        <v>8796492645.4088554</v>
      </c>
      <c r="AA29" s="42">
        <f t="shared" ca="1" si="18"/>
        <v>251477.52428538792</v>
      </c>
      <c r="AB29" s="42">
        <f t="shared" ca="1" si="18"/>
        <v>638055.86201713816</v>
      </c>
      <c r="AC29" s="42">
        <f ca="1">+X29/T29</f>
        <v>736293.01459854818</v>
      </c>
    </row>
    <row r="30" spans="1:31" ht="15.75" x14ac:dyDescent="0.25">
      <c r="B30" s="21" t="s">
        <v>123</v>
      </c>
      <c r="D30" s="20">
        <f>AVERAGE(AA15,AA18)</f>
        <v>2.2336294372274668</v>
      </c>
      <c r="E30" s="20">
        <f>AVERAGE(AC15,AC18)</f>
        <v>14.836438204328083</v>
      </c>
      <c r="F30" s="20">
        <f ca="1">AVERAGE(AE15,AE18)</f>
        <v>-12.726976647476473</v>
      </c>
      <c r="H30" s="19">
        <f t="shared" si="19"/>
        <v>258935494</v>
      </c>
      <c r="I30" s="19">
        <f t="shared" si="20"/>
        <v>44033523</v>
      </c>
      <c r="J30" s="32">
        <f t="shared" ca="1" si="21"/>
        <v>2148.7874971439123</v>
      </c>
      <c r="L30" s="39">
        <f t="shared" ref="L30" si="28">+D30*H30</f>
        <v>578365941.74143612</v>
      </c>
      <c r="M30" s="39">
        <f t="shared" ref="M30" si="29">+E30*I30</f>
        <v>653300642.90835929</v>
      </c>
      <c r="N30" s="40" t="s">
        <v>121</v>
      </c>
      <c r="P30" s="25">
        <v>49844</v>
      </c>
      <c r="Q30" s="25">
        <v>16481</v>
      </c>
      <c r="R30" s="25">
        <v>31644</v>
      </c>
      <c r="S30" s="41">
        <f t="shared" ca="1" si="24"/>
        <v>6735.6130000000003</v>
      </c>
      <c r="T30" s="41">
        <v>11947</v>
      </c>
      <c r="V30" s="39">
        <f t="shared" ca="1" si="25"/>
        <v>578360925.12843609</v>
      </c>
      <c r="W30" s="39">
        <f ca="1">+M30+P30-Q30-R30-S30</f>
        <v>653295626.29535925</v>
      </c>
      <c r="X30" s="39">
        <f t="shared" ca="1" si="26"/>
        <v>-326721398.43876326</v>
      </c>
      <c r="AA30" s="42">
        <f t="shared" ca="1" si="18"/>
        <v>48410.557054359764</v>
      </c>
      <c r="AB30" s="42">
        <f t="shared" ca="1" si="18"/>
        <v>54682.817970650307</v>
      </c>
      <c r="AC30" s="42">
        <f ca="1">+X30/T30</f>
        <v>-27347.56829653999</v>
      </c>
    </row>
    <row r="31" spans="1:31" ht="15.75" x14ac:dyDescent="0.25">
      <c r="T31" s="113"/>
    </row>
  </sheetData>
  <mergeCells count="14">
    <mergeCell ref="AB8:AC8"/>
    <mergeCell ref="AD8:AE8"/>
    <mergeCell ref="AB7:AC7"/>
    <mergeCell ref="D24:F24"/>
    <mergeCell ref="H24:J24"/>
    <mergeCell ref="L24:N24"/>
    <mergeCell ref="M8:N8"/>
    <mergeCell ref="P8:Q8"/>
    <mergeCell ref="S8:T8"/>
    <mergeCell ref="U8:V8"/>
    <mergeCell ref="W8:X8"/>
    <mergeCell ref="Z8:AA8"/>
    <mergeCell ref="V24:X24"/>
    <mergeCell ref="AA24:AC24"/>
  </mergeCells>
  <conditionalFormatting sqref="S10:S19">
    <cfRule type="colorScale" priority="5">
      <colorScale>
        <cfvo type="min"/>
        <cfvo type="percentile" val="50"/>
        <cfvo type="max"/>
        <color rgb="FFF8696B"/>
        <color rgb="FFFFEB84"/>
        <color rgb="FF63BE7B"/>
      </colorScale>
    </cfRule>
  </conditionalFormatting>
  <conditionalFormatting sqref="T10:T19">
    <cfRule type="colorScale" priority="4">
      <colorScale>
        <cfvo type="min"/>
        <cfvo type="percentile" val="50"/>
        <cfvo type="max"/>
        <color rgb="FFF8696B"/>
        <color rgb="FFFFEB84"/>
        <color rgb="FF63BE7B"/>
      </colorScale>
    </cfRule>
  </conditionalFormatting>
  <conditionalFormatting sqref="U10:U19">
    <cfRule type="colorScale" priority="3">
      <colorScale>
        <cfvo type="min"/>
        <cfvo type="percentile" val="50"/>
        <cfvo type="max"/>
        <color rgb="FFF8696B"/>
        <color rgb="FFFFEB84"/>
        <color rgb="FF63BE7B"/>
      </colorScale>
    </cfRule>
  </conditionalFormatting>
  <conditionalFormatting sqref="V10:V19">
    <cfRule type="colorScale" priority="2">
      <colorScale>
        <cfvo type="min"/>
        <cfvo type="percentile" val="50"/>
        <cfvo type="max"/>
        <color rgb="FFF8696B"/>
        <color rgb="FFFFEB84"/>
        <color rgb="FF63BE7B"/>
      </colorScale>
    </cfRule>
  </conditionalFormatting>
  <conditionalFormatting sqref="W10:W19">
    <cfRule type="colorScale" priority="1">
      <colorScale>
        <cfvo type="min"/>
        <cfvo type="percentile" val="50"/>
        <cfvo type="max"/>
        <color rgb="FFF8696B"/>
        <color rgb="FFFFEB84"/>
        <color rgb="FF63BE7B"/>
      </colorScale>
    </cfRule>
  </conditionalFormatting>
  <conditionalFormatting sqref="X10:X19">
    <cfRule type="colorScale" priority="6">
      <colorScale>
        <cfvo type="min"/>
        <cfvo type="percentile" val="50"/>
        <cfvo type="max"/>
        <color rgb="FFF8696B"/>
        <color rgb="FFFFEB84"/>
        <color rgb="FF63BE7B"/>
      </colorScale>
    </cfRule>
  </conditionalFormatting>
  <conditionalFormatting sqref="Z10:Z19">
    <cfRule type="colorScale" priority="12">
      <colorScale>
        <cfvo type="min"/>
        <cfvo type="percentile" val="50"/>
        <cfvo type="max"/>
        <color rgb="FF63BE7B"/>
        <color rgb="FFFFEB84"/>
        <color rgb="FFF8696B"/>
      </colorScale>
    </cfRule>
  </conditionalFormatting>
  <conditionalFormatting sqref="AA10:AA19">
    <cfRule type="colorScale" priority="11">
      <colorScale>
        <cfvo type="min"/>
        <cfvo type="percentile" val="50"/>
        <cfvo type="max"/>
        <color rgb="FF63BE7B"/>
        <color rgb="FFFFEB84"/>
        <color rgb="FFF8696B"/>
      </colorScale>
    </cfRule>
  </conditionalFormatting>
  <conditionalFormatting sqref="AB10:AB19">
    <cfRule type="colorScale" priority="10">
      <colorScale>
        <cfvo type="min"/>
        <cfvo type="percentile" val="50"/>
        <cfvo type="max"/>
        <color rgb="FF63BE7B"/>
        <color rgb="FFFFEB84"/>
        <color rgb="FFF8696B"/>
      </colorScale>
    </cfRule>
  </conditionalFormatting>
  <conditionalFormatting sqref="AC10:AC19">
    <cfRule type="colorScale" priority="9">
      <colorScale>
        <cfvo type="min"/>
        <cfvo type="percentile" val="50"/>
        <cfvo type="max"/>
        <color rgb="FF63BE7B"/>
        <color rgb="FFFFEB84"/>
        <color rgb="FFF8696B"/>
      </colorScale>
    </cfRule>
  </conditionalFormatting>
  <conditionalFormatting sqref="AD10:AD19">
    <cfRule type="colorScale" priority="8">
      <colorScale>
        <cfvo type="min"/>
        <cfvo type="percentile" val="50"/>
        <cfvo type="max"/>
        <color rgb="FF63BE7B"/>
        <color rgb="FFFFEB84"/>
        <color rgb="FFF8696B"/>
      </colorScale>
    </cfRule>
  </conditionalFormatting>
  <conditionalFormatting sqref="AE10:AE19">
    <cfRule type="colorScale" priority="7">
      <colorScale>
        <cfvo type="min"/>
        <cfvo type="percentile" val="50"/>
        <cfvo type="max"/>
        <color rgb="FF63BE7B"/>
        <color rgb="FFFFEB84"/>
        <color rgb="FFF8696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695B2-0ADD-4C56-92EC-F446A0A2319E}">
  <sheetPr codeName="Sheet3"/>
  <dimension ref="A2:P73"/>
  <sheetViews>
    <sheetView showGridLines="0" topLeftCell="A7" workbookViewId="0">
      <selection activeCell="K47" sqref="K47"/>
    </sheetView>
  </sheetViews>
  <sheetFormatPr defaultRowHeight="15" x14ac:dyDescent="0.25"/>
  <cols>
    <col min="1" max="1" width="9.140625" style="120"/>
    <col min="2" max="2" width="39.28515625" style="120" customWidth="1"/>
    <col min="3" max="3" width="9.140625" style="120"/>
    <col min="4" max="7" width="14" style="120" customWidth="1"/>
    <col min="8" max="8" width="14.7109375" style="120" customWidth="1"/>
    <col min="9" max="11" width="14" style="120" customWidth="1"/>
    <col min="12" max="12" width="9.140625" style="120"/>
    <col min="13" max="13" width="13.140625" style="120" customWidth="1"/>
    <col min="14" max="14" width="13.85546875" style="120" bestFit="1" customWidth="1"/>
    <col min="15" max="15" width="9.140625" style="120"/>
    <col min="16" max="16" width="28.7109375" style="120" customWidth="1"/>
    <col min="17" max="16384" width="9.140625" style="120"/>
  </cols>
  <sheetData>
    <row r="2" spans="1:16" s="119" customFormat="1" ht="21" x14ac:dyDescent="0.35">
      <c r="A2" s="281"/>
      <c r="B2" s="118" t="e" cm="1" vm="10">
        <f t="array" ref="B2">_FV(#REF!,"Official name",TRUE)</f>
        <v>#VALUE!</v>
      </c>
      <c r="C2" s="281"/>
      <c r="D2" s="281"/>
      <c r="E2" s="281"/>
      <c r="F2" s="281"/>
      <c r="G2" s="281"/>
      <c r="H2" s="281"/>
      <c r="I2" s="281"/>
      <c r="J2" s="281"/>
      <c r="K2" s="281"/>
      <c r="L2" s="281"/>
      <c r="M2" s="281"/>
      <c r="N2" s="281"/>
      <c r="O2" s="281"/>
      <c r="P2" s="281"/>
    </row>
    <row r="4" spans="1:16" x14ac:dyDescent="0.25">
      <c r="A4" s="282"/>
      <c r="B4" s="252" t="s">
        <v>21</v>
      </c>
      <c r="C4" s="253"/>
      <c r="D4" s="254">
        <v>2021</v>
      </c>
      <c r="E4" s="254">
        <f>+D4+1</f>
        <v>2022</v>
      </c>
      <c r="F4" s="255">
        <f>+E4+1</f>
        <v>2023</v>
      </c>
      <c r="G4" s="256">
        <f t="shared" ref="G4:K4" si="0">+F4+1</f>
        <v>2024</v>
      </c>
      <c r="H4" s="256">
        <f t="shared" si="0"/>
        <v>2025</v>
      </c>
      <c r="I4" s="256">
        <f t="shared" si="0"/>
        <v>2026</v>
      </c>
      <c r="J4" s="256">
        <f>+I4+1</f>
        <v>2027</v>
      </c>
      <c r="K4" s="256">
        <f t="shared" si="0"/>
        <v>2028</v>
      </c>
      <c r="L4" s="282"/>
      <c r="M4" s="282"/>
      <c r="N4" s="282"/>
      <c r="O4" s="282"/>
      <c r="P4" s="282"/>
    </row>
    <row r="5" spans="1:16" ht="3.75" customHeight="1" x14ac:dyDescent="0.25">
      <c r="A5" s="282"/>
      <c r="B5" s="283" t="s">
        <v>124</v>
      </c>
      <c r="C5" s="283"/>
      <c r="D5" s="283"/>
      <c r="E5" s="283"/>
      <c r="F5" s="284"/>
      <c r="G5" s="283"/>
      <c r="H5" s="283"/>
      <c r="I5" s="283"/>
      <c r="J5" s="283"/>
      <c r="K5" s="283"/>
      <c r="L5" s="282"/>
      <c r="M5" s="282"/>
      <c r="N5" s="282"/>
      <c r="O5" s="282"/>
      <c r="P5" s="282"/>
    </row>
    <row r="6" spans="1:16" x14ac:dyDescent="0.25">
      <c r="A6" s="282"/>
      <c r="B6" s="241" t="s">
        <v>5</v>
      </c>
      <c r="C6" s="282"/>
      <c r="D6" s="126">
        <v>279604</v>
      </c>
      <c r="E6" s="126">
        <v>302231</v>
      </c>
      <c r="F6" s="242">
        <v>258935</v>
      </c>
      <c r="G6" s="172">
        <f>+G13+G24+G38+G52</f>
        <v>306324</v>
      </c>
      <c r="H6" s="172">
        <f>+H13+H24+H38+H52</f>
        <v>358294.62400000001</v>
      </c>
      <c r="I6" s="172">
        <f>+I13+I24+I38+I52</f>
        <v>394523.74393599998</v>
      </c>
      <c r="J6" s="172">
        <f>+J13+J24+J38+J52</f>
        <v>431162.05650790397</v>
      </c>
      <c r="K6" s="172">
        <f>+K13+K24+K38+K52</f>
        <v>469086.06147480983</v>
      </c>
      <c r="L6" s="282"/>
      <c r="M6" s="282"/>
      <c r="N6" s="282"/>
      <c r="O6" s="282"/>
      <c r="P6" s="282"/>
    </row>
    <row r="7" spans="1:16" x14ac:dyDescent="0.25">
      <c r="A7" s="282"/>
      <c r="B7" s="141" t="s">
        <v>125</v>
      </c>
      <c r="C7" s="282"/>
      <c r="D7" s="243">
        <v>0.18099999999999999</v>
      </c>
      <c r="E7" s="127">
        <f t="shared" ref="E7:J7" si="1">+(E6-D6)/D6</f>
        <v>8.092516559133632E-2</v>
      </c>
      <c r="F7" s="244">
        <f t="shared" si="1"/>
        <v>-0.14325466282413121</v>
      </c>
      <c r="G7" s="121">
        <f>+(G6-F6)/F6</f>
        <v>0.18301504238515456</v>
      </c>
      <c r="H7" s="122">
        <f>+(H6-G6)/G6</f>
        <v>0.16965900158002642</v>
      </c>
      <c r="I7" s="122">
        <f>+(I6-H6)/H6</f>
        <v>0.10111544385326857</v>
      </c>
      <c r="J7" s="122">
        <f t="shared" si="1"/>
        <v>9.2867192748346941E-2</v>
      </c>
      <c r="K7" s="122">
        <f>+(K6-J6)/J6</f>
        <v>8.7957658598399074E-2</v>
      </c>
      <c r="L7" s="282"/>
      <c r="M7" s="282"/>
      <c r="N7" s="282"/>
      <c r="O7" s="282"/>
      <c r="P7" s="282"/>
    </row>
    <row r="8" spans="1:16" x14ac:dyDescent="0.25">
      <c r="A8" s="282"/>
      <c r="B8" s="144" t="s">
        <v>126</v>
      </c>
      <c r="C8" s="282"/>
      <c r="D8" s="245">
        <f>(51633856+2205695-2055971-729614)/1000</f>
        <v>51053.966</v>
      </c>
      <c r="E8" s="126">
        <f>(43376630+1962071-1790176-1090643)/1000</f>
        <v>42457.881999999998</v>
      </c>
      <c r="F8" s="246">
        <f>(6566976+1180448-1083327-887550)/1000</f>
        <v>5776.5469999999996</v>
      </c>
      <c r="G8" s="123">
        <f>+G15+G26+G40+G54</f>
        <v>37236</v>
      </c>
      <c r="H8" s="123">
        <f t="shared" ref="H8:K8" si="2">+H15+H26+H40+H54</f>
        <v>47753.506159999997</v>
      </c>
      <c r="I8" s="123">
        <f t="shared" si="2"/>
        <v>56948.269338176004</v>
      </c>
      <c r="J8" s="123">
        <f t="shared" si="2"/>
        <v>68272.704449927158</v>
      </c>
      <c r="K8" s="123">
        <f t="shared" si="2"/>
        <v>76713.849947029317</v>
      </c>
      <c r="L8" s="282"/>
      <c r="M8" s="282"/>
      <c r="N8" s="282"/>
      <c r="O8" s="282"/>
      <c r="P8" s="282"/>
    </row>
    <row r="9" spans="1:16" x14ac:dyDescent="0.25">
      <c r="A9" s="282"/>
      <c r="B9" s="145" t="s">
        <v>127</v>
      </c>
      <c r="C9" s="282"/>
      <c r="D9" s="285">
        <f>+D8/D$6</f>
        <v>0.18259383270625598</v>
      </c>
      <c r="E9" s="285">
        <f>+E8/E$6</f>
        <v>0.14048155880766697</v>
      </c>
      <c r="F9" s="286">
        <f>+F8/F$6</f>
        <v>2.2308869021182922E-2</v>
      </c>
      <c r="G9" s="287">
        <f t="shared" ref="G9:K9" si="3">+G8/G$6</f>
        <v>0.12155756649821757</v>
      </c>
      <c r="H9" s="288">
        <f t="shared" si="3"/>
        <v>0.13327999629712556</v>
      </c>
      <c r="I9" s="288">
        <f t="shared" si="3"/>
        <v>0.14434687446191885</v>
      </c>
      <c r="J9" s="288">
        <f t="shared" si="3"/>
        <v>0.15834580854096006</v>
      </c>
      <c r="K9" s="288">
        <f t="shared" si="3"/>
        <v>0.16353896704123</v>
      </c>
      <c r="L9" s="282"/>
      <c r="M9" s="289">
        <v>0.1095</v>
      </c>
      <c r="N9" s="282"/>
      <c r="O9" s="282"/>
      <c r="P9" s="282"/>
    </row>
    <row r="11" spans="1:16" x14ac:dyDescent="0.25">
      <c r="A11" s="282"/>
      <c r="B11" s="252" t="s">
        <v>128</v>
      </c>
      <c r="C11" s="253"/>
      <c r="D11" s="254">
        <v>2021</v>
      </c>
      <c r="E11" s="254">
        <f>+D11+1</f>
        <v>2022</v>
      </c>
      <c r="F11" s="255">
        <f>+E11+1</f>
        <v>2023</v>
      </c>
      <c r="G11" s="256">
        <f t="shared" ref="G11" si="4">+F11+1</f>
        <v>2024</v>
      </c>
      <c r="H11" s="256">
        <f t="shared" ref="H11" si="5">+G11+1</f>
        <v>2025</v>
      </c>
      <c r="I11" s="256">
        <f t="shared" ref="I11" si="6">+H11+1</f>
        <v>2026</v>
      </c>
      <c r="J11" s="256">
        <f>+I11+1</f>
        <v>2027</v>
      </c>
      <c r="K11" s="256">
        <f t="shared" ref="K11" si="7">+J11+1</f>
        <v>2028</v>
      </c>
      <c r="L11" s="282"/>
      <c r="M11" s="290" t="s">
        <v>129</v>
      </c>
      <c r="N11" s="282"/>
      <c r="O11" s="282"/>
      <c r="P11" s="282"/>
    </row>
    <row r="12" spans="1:16" ht="3.75" customHeight="1" x14ac:dyDescent="0.25">
      <c r="A12" s="282"/>
      <c r="B12" s="283" t="s">
        <v>124</v>
      </c>
      <c r="C12" s="283"/>
      <c r="D12" s="283"/>
      <c r="E12" s="283"/>
      <c r="F12" s="284"/>
      <c r="G12" s="283"/>
      <c r="H12" s="283"/>
      <c r="I12" s="283"/>
      <c r="J12" s="283"/>
      <c r="K12" s="283"/>
      <c r="L12" s="282"/>
      <c r="M12" s="282"/>
      <c r="N12" s="282"/>
      <c r="O12" s="282"/>
      <c r="P12" s="282"/>
    </row>
    <row r="13" spans="1:16" x14ac:dyDescent="0.25">
      <c r="A13" s="282"/>
      <c r="B13" s="241" t="s">
        <v>5</v>
      </c>
      <c r="C13" s="282"/>
      <c r="D13" s="126">
        <v>166260</v>
      </c>
      <c r="E13" s="126">
        <v>182490</v>
      </c>
      <c r="F13" s="242">
        <v>169990</v>
      </c>
      <c r="G13" s="126">
        <v>176143</v>
      </c>
      <c r="H13" s="126">
        <v>179564</v>
      </c>
      <c r="I13" s="291">
        <f>+H13*(1+I14)</f>
        <v>186746.56</v>
      </c>
      <c r="J13" s="291">
        <f>+I13*(1+J14)</f>
        <v>194216.42240000001</v>
      </c>
      <c r="K13" s="291">
        <f>+J13*(1+K14)</f>
        <v>201985.07929600001</v>
      </c>
      <c r="L13" s="282"/>
      <c r="M13" s="282"/>
      <c r="N13" s="282"/>
      <c r="O13" s="282"/>
      <c r="P13" s="282"/>
    </row>
    <row r="14" spans="1:16" x14ac:dyDescent="0.25">
      <c r="A14" s="282"/>
      <c r="B14" s="141" t="s">
        <v>125</v>
      </c>
      <c r="C14" s="282"/>
      <c r="D14" s="243"/>
      <c r="E14" s="127">
        <f>+(E13-D13)/D13</f>
        <v>9.7618188379646337E-2</v>
      </c>
      <c r="F14" s="244">
        <f>+(F13-E13)/E13</f>
        <v>-6.8496903939941914E-2</v>
      </c>
      <c r="G14" s="127">
        <f>+(G13-F13)/F13</f>
        <v>3.6196246838049298E-2</v>
      </c>
      <c r="H14" s="128">
        <f>+(H13-G13)/G13</f>
        <v>1.9421719852619746E-2</v>
      </c>
      <c r="I14" s="129">
        <v>0.04</v>
      </c>
      <c r="J14" s="129">
        <v>0.04</v>
      </c>
      <c r="K14" s="129">
        <v>0.04</v>
      </c>
      <c r="L14" s="282"/>
      <c r="M14" s="282"/>
      <c r="N14" s="282"/>
      <c r="O14" s="282"/>
      <c r="P14" s="282">
        <v>6.7748299999999997</v>
      </c>
    </row>
    <row r="15" spans="1:16" x14ac:dyDescent="0.25">
      <c r="A15" s="282"/>
      <c r="B15" s="144" t="s">
        <v>126</v>
      </c>
      <c r="C15" s="282"/>
      <c r="D15" s="126">
        <v>17390</v>
      </c>
      <c r="E15" s="126">
        <v>12750</v>
      </c>
      <c r="F15" s="242">
        <v>14380</v>
      </c>
      <c r="G15" s="126">
        <v>12680</v>
      </c>
      <c r="H15" s="126">
        <v>13012</v>
      </c>
      <c r="I15" s="123">
        <v>13613</v>
      </c>
      <c r="J15" s="292">
        <f>+I15*(1+J16)</f>
        <v>14620.362000000001</v>
      </c>
      <c r="K15" s="292">
        <f>+J15*(1+K16)</f>
        <v>15716.889150000001</v>
      </c>
      <c r="L15" s="282"/>
      <c r="M15" s="282"/>
      <c r="N15" s="282"/>
      <c r="O15" s="282"/>
      <c r="P15" s="282"/>
    </row>
    <row r="16" spans="1:16" x14ac:dyDescent="0.25">
      <c r="A16" s="282"/>
      <c r="B16" s="145" t="s">
        <v>127</v>
      </c>
      <c r="C16" s="282"/>
      <c r="D16" s="127">
        <f t="shared" ref="D16:I16" si="8">+D15/D13</f>
        <v>0.10459521231805606</v>
      </c>
      <c r="E16" s="127">
        <f t="shared" si="8"/>
        <v>6.9866842018740757E-2</v>
      </c>
      <c r="F16" s="244">
        <f t="shared" si="8"/>
        <v>8.4593211365374441E-2</v>
      </c>
      <c r="G16" s="130">
        <f t="shared" si="8"/>
        <v>7.198696513628132E-2</v>
      </c>
      <c r="H16" s="130">
        <f t="shared" si="8"/>
        <v>7.2464413802321173E-2</v>
      </c>
      <c r="I16" s="124">
        <f t="shared" si="8"/>
        <v>7.2895586403305096E-2</v>
      </c>
      <c r="J16" s="129">
        <v>7.3999999999999996E-2</v>
      </c>
      <c r="K16" s="129">
        <v>7.4999999999999997E-2</v>
      </c>
      <c r="L16" s="282"/>
      <c r="M16" s="282"/>
      <c r="N16" s="282"/>
      <c r="O16" s="282"/>
      <c r="P16" s="282"/>
    </row>
    <row r="17" spans="1:16" x14ac:dyDescent="0.25">
      <c r="A17" s="282"/>
      <c r="B17" s="280" t="s">
        <v>130</v>
      </c>
      <c r="C17" s="282"/>
      <c r="D17" s="126">
        <v>2373</v>
      </c>
      <c r="E17" s="126">
        <v>2521</v>
      </c>
      <c r="F17" s="242">
        <v>2524</v>
      </c>
      <c r="G17" s="293">
        <f>+G18*G13</f>
        <v>2520.9124379172367</v>
      </c>
      <c r="H17" s="293">
        <f>+H18*H13</f>
        <v>2572.2019663985257</v>
      </c>
      <c r="I17" s="293">
        <f>+I18*I13</f>
        <v>2706.8527070487116</v>
      </c>
      <c r="J17" s="293">
        <f>+J18*J13</f>
        <v>2792.2649944401355</v>
      </c>
      <c r="K17" s="293">
        <f>+K18*K13</f>
        <v>2908.3549582975129</v>
      </c>
      <c r="L17" s="282"/>
      <c r="M17" s="282"/>
      <c r="N17" s="282"/>
      <c r="O17" s="282"/>
      <c r="P17" s="282"/>
    </row>
    <row r="18" spans="1:16" x14ac:dyDescent="0.25">
      <c r="A18" s="282"/>
      <c r="B18" s="145" t="s">
        <v>127</v>
      </c>
      <c r="C18" s="282"/>
      <c r="D18" s="127">
        <f>+D17/D13</f>
        <v>1.4272825694695056E-2</v>
      </c>
      <c r="E18" s="127">
        <f>+E17/E13</f>
        <v>1.3814455586607485E-2</v>
      </c>
      <c r="F18" s="244">
        <f>+F17/F13</f>
        <v>1.4847932231307724E-2</v>
      </c>
      <c r="G18" s="294">
        <f>+AVERAGE(D18:F18)</f>
        <v>1.4311737837536755E-2</v>
      </c>
      <c r="H18" s="294">
        <f>+AVERAGE(E18:G18)</f>
        <v>1.4324708551817321E-2</v>
      </c>
      <c r="I18" s="294">
        <f>+AVERAGE(F18:H18)</f>
        <v>1.4494792873553932E-2</v>
      </c>
      <c r="J18" s="294">
        <f>+AVERAGE(G18:I18)</f>
        <v>1.437707975430267E-2</v>
      </c>
      <c r="K18" s="294">
        <f>+AVERAGE(H18:J18)</f>
        <v>1.4398860393224642E-2</v>
      </c>
      <c r="L18" s="282"/>
      <c r="M18" s="282"/>
      <c r="N18" s="282"/>
      <c r="O18" s="282"/>
      <c r="P18" s="282"/>
    </row>
    <row r="19" spans="1:16" x14ac:dyDescent="0.25">
      <c r="A19" s="282"/>
      <c r="B19" s="144" t="s">
        <v>131</v>
      </c>
      <c r="C19" s="282"/>
      <c r="D19" s="126">
        <v>1435</v>
      </c>
      <c r="E19" s="126">
        <v>1679</v>
      </c>
      <c r="F19" s="242">
        <v>1722</v>
      </c>
      <c r="G19" s="293">
        <f>+G20*G13</f>
        <v>1641.7450337200194</v>
      </c>
      <c r="H19" s="293">
        <f>+H20*H13</f>
        <v>1714.8981879820406</v>
      </c>
      <c r="I19" s="293">
        <f>+I20*I13</f>
        <v>1805.2713213716645</v>
      </c>
      <c r="J19" s="293">
        <f>+J20*J13</f>
        <v>1847.5049509074499</v>
      </c>
      <c r="K19" s="293">
        <f>+K20*K13</f>
        <v>1934.3379484885236</v>
      </c>
      <c r="L19" s="282"/>
      <c r="M19" s="282" t="s">
        <v>132</v>
      </c>
      <c r="N19" s="295">
        <f>M22/P14</f>
        <v>5791.0325909284811</v>
      </c>
      <c r="O19" s="282"/>
      <c r="P19" s="296"/>
    </row>
    <row r="20" spans="1:16" x14ac:dyDescent="0.25">
      <c r="A20" s="282"/>
      <c r="B20" s="145" t="s">
        <v>127</v>
      </c>
      <c r="C20" s="282"/>
      <c r="D20" s="127">
        <f>+D19/D13</f>
        <v>8.6310597858775418E-3</v>
      </c>
      <c r="E20" s="127">
        <f>+E19/E13</f>
        <v>9.2005041372129979E-3</v>
      </c>
      <c r="F20" s="244">
        <f>+F19/F13</f>
        <v>1.0130007647508677E-2</v>
      </c>
      <c r="G20" s="294">
        <f>+AVERAGE(D20:F20)</f>
        <v>9.3205238568664067E-3</v>
      </c>
      <c r="H20" s="294">
        <f>+AVERAGE(E20:G20)</f>
        <v>9.5503452138626932E-3</v>
      </c>
      <c r="I20" s="294">
        <f>+AVERAGE(F20:H20)</f>
        <v>9.6669589060792583E-3</v>
      </c>
      <c r="J20" s="294">
        <f>+AVERAGE(G20:I20)</f>
        <v>9.512609325602786E-3</v>
      </c>
      <c r="K20" s="294">
        <f>+AVERAGE(H20:J20)</f>
        <v>9.5766378151815792E-3</v>
      </c>
      <c r="L20" s="282"/>
      <c r="M20" s="282"/>
      <c r="N20" s="282"/>
      <c r="O20" s="282"/>
      <c r="P20" s="282"/>
    </row>
    <row r="22" spans="1:16" x14ac:dyDescent="0.25">
      <c r="A22" s="282"/>
      <c r="B22" s="252" t="s">
        <v>133</v>
      </c>
      <c r="C22" s="253"/>
      <c r="D22" s="254">
        <v>2021</v>
      </c>
      <c r="E22" s="254">
        <f t="shared" ref="E22:K22" si="9">+D22+1</f>
        <v>2022</v>
      </c>
      <c r="F22" s="255">
        <f t="shared" si="9"/>
        <v>2023</v>
      </c>
      <c r="G22" s="256">
        <f t="shared" si="9"/>
        <v>2024</v>
      </c>
      <c r="H22" s="256">
        <f t="shared" si="9"/>
        <v>2025</v>
      </c>
      <c r="I22" s="256">
        <f t="shared" si="9"/>
        <v>2026</v>
      </c>
      <c r="J22" s="256">
        <f t="shared" si="9"/>
        <v>2027</v>
      </c>
      <c r="K22" s="256">
        <f t="shared" si="9"/>
        <v>2028</v>
      </c>
      <c r="L22" s="282"/>
      <c r="M22" s="297">
        <f>H6*M9</f>
        <v>39233.261328000001</v>
      </c>
      <c r="N22" s="282"/>
      <c r="O22" s="282"/>
      <c r="P22" s="296">
        <f>N33/N19</f>
        <v>12.360320019986371</v>
      </c>
    </row>
    <row r="23" spans="1:16" ht="3.75" customHeight="1" x14ac:dyDescent="0.25">
      <c r="A23" s="282"/>
      <c r="B23" s="298" t="s">
        <v>124</v>
      </c>
      <c r="C23" s="298"/>
      <c r="D23" s="298"/>
      <c r="E23" s="298"/>
      <c r="F23" s="299"/>
      <c r="G23" s="298"/>
      <c r="H23" s="298"/>
      <c r="I23" s="298"/>
      <c r="J23" s="298"/>
      <c r="K23" s="298"/>
      <c r="L23" s="282"/>
      <c r="M23" s="282"/>
      <c r="N23" s="282"/>
      <c r="O23" s="282"/>
      <c r="P23" s="282"/>
    </row>
    <row r="24" spans="1:16" x14ac:dyDescent="0.25">
      <c r="A24" s="282"/>
      <c r="B24" s="241" t="s">
        <v>5</v>
      </c>
      <c r="C24" s="282"/>
      <c r="D24" s="126">
        <v>95390</v>
      </c>
      <c r="E24" s="126">
        <v>98460</v>
      </c>
      <c r="F24" s="242">
        <v>66590</v>
      </c>
      <c r="G24" s="123">
        <v>85724</v>
      </c>
      <c r="H24" s="126">
        <v>131212</v>
      </c>
      <c r="I24" s="292">
        <f>+H24*(1+I25)</f>
        <v>157454.39999999999</v>
      </c>
      <c r="J24" s="292">
        <f>+I24*(1+J25)</f>
        <v>184221.64799999999</v>
      </c>
      <c r="K24" s="292">
        <f>+J24*(1+K25)</f>
        <v>211854.89519999997</v>
      </c>
      <c r="L24" s="282"/>
      <c r="M24" s="282"/>
      <c r="N24" s="282"/>
      <c r="O24" s="282"/>
      <c r="P24" s="282"/>
    </row>
    <row r="25" spans="1:16" x14ac:dyDescent="0.25">
      <c r="A25" s="282"/>
      <c r="B25" s="141" t="s">
        <v>125</v>
      </c>
      <c r="C25" s="282"/>
      <c r="D25" s="243">
        <v>0.18099999999999999</v>
      </c>
      <c r="E25" s="127">
        <f>+(E24-D24)/D24</f>
        <v>3.218366705105357E-2</v>
      </c>
      <c r="F25" s="244">
        <f>+(F24-E24)/E24</f>
        <v>-0.3236847450741418</v>
      </c>
      <c r="G25" s="128">
        <f>+(G24-F24)/F24</f>
        <v>0.28734044150773391</v>
      </c>
      <c r="H25" s="128">
        <f>+(H24-G24)/G24</f>
        <v>0.5306331949045775</v>
      </c>
      <c r="I25" s="129">
        <v>0.2</v>
      </c>
      <c r="J25" s="129">
        <v>0.17</v>
      </c>
      <c r="K25" s="129">
        <v>0.15</v>
      </c>
      <c r="L25" s="282"/>
      <c r="M25" s="282">
        <v>2021</v>
      </c>
      <c r="N25" s="282">
        <v>2022</v>
      </c>
      <c r="O25" s="282">
        <v>2023</v>
      </c>
      <c r="P25" s="282"/>
    </row>
    <row r="26" spans="1:16" x14ac:dyDescent="0.25">
      <c r="A26" s="282"/>
      <c r="B26" s="144" t="s">
        <v>126</v>
      </c>
      <c r="C26" s="282"/>
      <c r="D26" s="126">
        <v>29190</v>
      </c>
      <c r="E26" s="126">
        <v>23820</v>
      </c>
      <c r="F26" s="242">
        <v>-14880</v>
      </c>
      <c r="G26" s="123">
        <v>18927</v>
      </c>
      <c r="H26" s="123">
        <v>28630</v>
      </c>
      <c r="I26" s="123">
        <v>36583</v>
      </c>
      <c r="J26" s="292">
        <f>+J27*J24</f>
        <v>46239.633647999995</v>
      </c>
      <c r="K26" s="292">
        <f>+K27*K24</f>
        <v>53175.578695199991</v>
      </c>
      <c r="L26" s="282"/>
      <c r="M26" s="289">
        <v>0.14269999999999999</v>
      </c>
      <c r="N26" s="289">
        <v>0.18410000000000001</v>
      </c>
      <c r="O26" s="289">
        <v>5.9799999999999999E-2</v>
      </c>
      <c r="P26" s="282"/>
    </row>
    <row r="27" spans="1:16" x14ac:dyDescent="0.25">
      <c r="A27" s="282"/>
      <c r="B27" s="145" t="s">
        <v>127</v>
      </c>
      <c r="C27" s="282"/>
      <c r="D27" s="127">
        <f t="shared" ref="D27:I27" si="10">+D26/D24</f>
        <v>0.30600691896425203</v>
      </c>
      <c r="E27" s="127">
        <f t="shared" si="10"/>
        <v>0.24192565508836075</v>
      </c>
      <c r="F27" s="244">
        <f t="shared" si="10"/>
        <v>-0.22345697552185012</v>
      </c>
      <c r="G27" s="124">
        <f t="shared" si="10"/>
        <v>0.2207899771359246</v>
      </c>
      <c r="H27" s="124">
        <f t="shared" si="10"/>
        <v>0.21819650641709601</v>
      </c>
      <c r="I27" s="124">
        <f t="shared" si="10"/>
        <v>0.23234028391712142</v>
      </c>
      <c r="J27" s="129">
        <v>0.251</v>
      </c>
      <c r="K27" s="129">
        <v>0.251</v>
      </c>
      <c r="L27" s="282"/>
      <c r="M27" s="282"/>
      <c r="N27" s="282"/>
      <c r="O27" s="282"/>
      <c r="P27" s="282"/>
    </row>
    <row r="28" spans="1:16" x14ac:dyDescent="0.25">
      <c r="A28" s="282"/>
      <c r="B28" s="144" t="s">
        <v>134</v>
      </c>
      <c r="C28" s="282"/>
      <c r="D28" s="126">
        <v>315827</v>
      </c>
      <c r="E28" s="126">
        <v>262056</v>
      </c>
      <c r="F28" s="242">
        <v>287141</v>
      </c>
      <c r="G28" s="125">
        <f>+F28-F31-F29+G33</f>
        <v>308991.44594065013</v>
      </c>
      <c r="H28" s="125">
        <f>+G28-G31-G29+H33</f>
        <v>356710.06615531316</v>
      </c>
      <c r="I28" s="125">
        <f>+H28-H31-H29+I33</f>
        <v>414290.25622037199</v>
      </c>
      <c r="J28" s="125">
        <f>+I28-I31-I29+J33</f>
        <v>482601.75017432752</v>
      </c>
      <c r="K28" s="125">
        <f>+J28-J31-J29+K33</f>
        <v>560545.31417840859</v>
      </c>
      <c r="L28" s="282"/>
      <c r="M28" s="282"/>
      <c r="N28" s="282"/>
      <c r="O28" s="282"/>
      <c r="P28" s="282"/>
    </row>
    <row r="29" spans="1:16" x14ac:dyDescent="0.25">
      <c r="A29" s="282"/>
      <c r="B29" s="144" t="s">
        <v>130</v>
      </c>
      <c r="C29" s="282"/>
      <c r="D29" s="126">
        <v>28353</v>
      </c>
      <c r="E29" s="126">
        <v>28196</v>
      </c>
      <c r="F29" s="242">
        <v>29371</v>
      </c>
      <c r="G29" s="293">
        <f>+G30*G28</f>
        <v>30863.804341412542</v>
      </c>
      <c r="H29" s="293">
        <f>+H30*H28</f>
        <v>36832.535024319448</v>
      </c>
      <c r="I29" s="293">
        <f>+I30*I28</f>
        <v>42178.83282080866</v>
      </c>
      <c r="J29" s="293">
        <f>+J30*J28</f>
        <v>49056.743337967448</v>
      </c>
      <c r="K29" s="293">
        <f>+K30*K28</f>
        <v>57309.528065808154</v>
      </c>
      <c r="L29" s="282"/>
      <c r="M29" s="282"/>
      <c r="N29" s="282"/>
      <c r="O29" s="282"/>
      <c r="P29" s="282"/>
    </row>
    <row r="30" spans="1:16" x14ac:dyDescent="0.25">
      <c r="A30" s="282"/>
      <c r="B30" s="145" t="s">
        <v>135</v>
      </c>
      <c r="C30" s="282"/>
      <c r="D30" s="127">
        <f>+D29/D28</f>
        <v>8.9773831876312035E-2</v>
      </c>
      <c r="E30" s="127">
        <f>+E29/E28</f>
        <v>0.10759532313703941</v>
      </c>
      <c r="F30" s="244">
        <f>+F29/F28</f>
        <v>0.10228772623902542</v>
      </c>
      <c r="G30" s="294">
        <f>AVERAGE(D30:F30)</f>
        <v>9.9885627084125628E-2</v>
      </c>
      <c r="H30" s="294">
        <f>AVERAGE(E30:G30)</f>
        <v>0.10325622548673015</v>
      </c>
      <c r="I30" s="294">
        <f>AVERAGE(F30:H30)</f>
        <v>0.10180985960329374</v>
      </c>
      <c r="J30" s="294">
        <f>AVERAGE(G30:I30)</f>
        <v>0.1016505707247165</v>
      </c>
      <c r="K30" s="294">
        <f>AVERAGE(H30:J30)</f>
        <v>0.10223888527158013</v>
      </c>
      <c r="L30" s="282"/>
      <c r="M30" s="282"/>
      <c r="N30" s="282"/>
      <c r="O30" s="282"/>
      <c r="P30" s="282"/>
    </row>
    <row r="31" spans="1:16" x14ac:dyDescent="0.25">
      <c r="A31" s="282"/>
      <c r="B31" s="144" t="s">
        <v>131</v>
      </c>
      <c r="C31" s="282"/>
      <c r="D31" s="126">
        <v>1179</v>
      </c>
      <c r="E31" s="126">
        <v>809</v>
      </c>
      <c r="F31" s="242">
        <v>754</v>
      </c>
      <c r="G31" s="293">
        <f>+G32*G28</f>
        <v>972.91832065184303</v>
      </c>
      <c r="H31" s="293">
        <f>+H32*H28</f>
        <v>1053.6863626947045</v>
      </c>
      <c r="I31" s="293">
        <f>+I32*I28</f>
        <v>1205.3746241612284</v>
      </c>
      <c r="J31" s="293">
        <f>+J32*J28</f>
        <v>1449.7492667157151</v>
      </c>
      <c r="K31" s="293">
        <f>+K32*K28</f>
        <v>1656.8640724680961</v>
      </c>
      <c r="L31" s="282"/>
      <c r="M31" s="282"/>
      <c r="N31" s="282"/>
      <c r="O31" s="282"/>
      <c r="P31" s="282"/>
    </row>
    <row r="32" spans="1:16" x14ac:dyDescent="0.25">
      <c r="A32" s="282"/>
      <c r="B32" s="145" t="s">
        <v>135</v>
      </c>
      <c r="C32" s="282"/>
      <c r="D32" s="127">
        <f>+D31/D28</f>
        <v>3.7330563884658374E-3</v>
      </c>
      <c r="E32" s="127">
        <f>+E31/E28</f>
        <v>3.0871264157279359E-3</v>
      </c>
      <c r="F32" s="244">
        <f>+F31/F28</f>
        <v>2.6258876301190007E-3</v>
      </c>
      <c r="G32" s="294">
        <f>AVERAGE(D32:F32)</f>
        <v>3.1486901447709248E-3</v>
      </c>
      <c r="H32" s="294">
        <f>AVERAGE(E32:G32)</f>
        <v>2.9539013968726204E-3</v>
      </c>
      <c r="I32" s="294">
        <f>AVERAGE(F32:H32)</f>
        <v>2.9094930572541818E-3</v>
      </c>
      <c r="J32" s="294">
        <f>AVERAGE(G32:I32)</f>
        <v>3.0040281996325754E-3</v>
      </c>
      <c r="K32" s="294">
        <f>AVERAGE(H32:J32)</f>
        <v>2.955807551253126E-3</v>
      </c>
      <c r="L32" s="282"/>
      <c r="M32" s="282"/>
      <c r="N32" s="282"/>
      <c r="O32" s="282"/>
      <c r="P32" s="282"/>
    </row>
    <row r="33" spans="2:14" x14ac:dyDescent="0.25">
      <c r="B33" s="144" t="s">
        <v>62</v>
      </c>
      <c r="C33" s="282"/>
      <c r="D33" s="126"/>
      <c r="E33" s="126">
        <v>47872</v>
      </c>
      <c r="F33" s="242">
        <v>48372</v>
      </c>
      <c r="G33" s="293">
        <f>+G34*G24</f>
        <v>51975.445940650148</v>
      </c>
      <c r="H33" s="293">
        <f>+H34*H24</f>
        <v>79555.342876727489</v>
      </c>
      <c r="I33" s="293">
        <f>+I34*I24</f>
        <v>95466.411452072978</v>
      </c>
      <c r="J33" s="293">
        <f>+J34*J24</f>
        <v>111695.70139892539</v>
      </c>
      <c r="K33" s="293">
        <f>+K34*K24</f>
        <v>128450.05660876418</v>
      </c>
      <c r="L33" s="282"/>
      <c r="M33" s="282"/>
      <c r="N33" s="282">
        <f>(Figures!F7)/(1+WACC!G22)^4</f>
        <v>71579.016070046855</v>
      </c>
    </row>
    <row r="34" spans="2:14" x14ac:dyDescent="0.25">
      <c r="B34" s="145" t="s">
        <v>127</v>
      </c>
      <c r="C34" s="282"/>
      <c r="D34" s="127"/>
      <c r="E34" s="127">
        <f>+E33/E24</f>
        <v>0.48620759699370303</v>
      </c>
      <c r="F34" s="244">
        <f>+F33/F24</f>
        <v>0.72641537768433695</v>
      </c>
      <c r="G34" s="294">
        <f>+AVERAGE(E34:F34)</f>
        <v>0.60631148733901996</v>
      </c>
      <c r="H34" s="131">
        <f>+G34</f>
        <v>0.60631148733901996</v>
      </c>
      <c r="I34" s="131">
        <f>+H34</f>
        <v>0.60631148733901996</v>
      </c>
      <c r="J34" s="131">
        <f>+I34</f>
        <v>0.60631148733901996</v>
      </c>
      <c r="K34" s="131">
        <f>+J34</f>
        <v>0.60631148733901996</v>
      </c>
      <c r="L34" s="282"/>
      <c r="M34" s="282"/>
      <c r="N34" s="282"/>
    </row>
    <row r="36" spans="2:14" x14ac:dyDescent="0.25">
      <c r="B36" s="247" t="s">
        <v>136</v>
      </c>
      <c r="C36" s="248"/>
      <c r="D36" s="249">
        <v>2021</v>
      </c>
      <c r="E36" s="249">
        <f t="shared" ref="E36:K36" si="11">+D36+1</f>
        <v>2022</v>
      </c>
      <c r="F36" s="250">
        <f t="shared" si="11"/>
        <v>2023</v>
      </c>
      <c r="G36" s="251">
        <f t="shared" si="11"/>
        <v>2024</v>
      </c>
      <c r="H36" s="251">
        <f t="shared" si="11"/>
        <v>2025</v>
      </c>
      <c r="I36" s="251">
        <f t="shared" si="11"/>
        <v>2026</v>
      </c>
      <c r="J36" s="251">
        <f t="shared" si="11"/>
        <v>2027</v>
      </c>
      <c r="K36" s="251">
        <f t="shared" si="11"/>
        <v>2028</v>
      </c>
      <c r="L36" s="282"/>
      <c r="M36" s="282"/>
      <c r="N36" s="282"/>
    </row>
    <row r="37" spans="2:14" ht="3.75" customHeight="1" x14ac:dyDescent="0.25">
      <c r="B37" s="298" t="s">
        <v>124</v>
      </c>
      <c r="C37" s="298"/>
      <c r="D37" s="298"/>
      <c r="E37" s="298"/>
      <c r="F37" s="299"/>
      <c r="G37" s="298"/>
      <c r="H37" s="298"/>
      <c r="I37" s="298"/>
      <c r="J37" s="298"/>
      <c r="K37" s="298"/>
      <c r="L37" s="282"/>
      <c r="M37" s="282"/>
      <c r="N37" s="282"/>
    </row>
    <row r="38" spans="2:14" x14ac:dyDescent="0.25">
      <c r="B38" s="241" t="s">
        <v>5</v>
      </c>
      <c r="C38" s="282"/>
      <c r="D38" s="126">
        <v>31710</v>
      </c>
      <c r="E38" s="126">
        <v>34380</v>
      </c>
      <c r="F38" s="242">
        <v>30980</v>
      </c>
      <c r="G38" s="123">
        <v>30166</v>
      </c>
      <c r="H38" s="123">
        <v>32313</v>
      </c>
      <c r="I38" s="123">
        <v>34144</v>
      </c>
      <c r="J38" s="292">
        <f>+I38*(1+J39)</f>
        <v>35509.760000000002</v>
      </c>
      <c r="K38" s="292">
        <f>+J38*(1+K39)</f>
        <v>36930.150400000006</v>
      </c>
      <c r="L38" s="282"/>
      <c r="M38" s="282"/>
      <c r="N38" s="282"/>
    </row>
    <row r="39" spans="2:14" x14ac:dyDescent="0.25">
      <c r="B39" s="141" t="s">
        <v>125</v>
      </c>
      <c r="C39" s="282"/>
      <c r="D39" s="243"/>
      <c r="E39" s="127">
        <f>+(E38-D38)/D38</f>
        <v>8.4200567644276247E-2</v>
      </c>
      <c r="F39" s="244">
        <f>+(F38-E38)/E38</f>
        <v>-9.8894706224549156E-2</v>
      </c>
      <c r="G39" s="128">
        <f>+(G38-F38)/F38</f>
        <v>-2.6275016139444805E-2</v>
      </c>
      <c r="H39" s="128">
        <f>+(H38-G38)/G38</f>
        <v>7.117284359875356E-2</v>
      </c>
      <c r="I39" s="128">
        <f>+(I38-H38)/H38</f>
        <v>5.6664500355893911E-2</v>
      </c>
      <c r="J39" s="129">
        <v>0.04</v>
      </c>
      <c r="K39" s="129">
        <v>0.04</v>
      </c>
      <c r="L39" s="282"/>
      <c r="M39" s="282"/>
      <c r="N39" s="282"/>
    </row>
    <row r="40" spans="2:14" x14ac:dyDescent="0.25">
      <c r="B40" s="144" t="s">
        <v>126</v>
      </c>
      <c r="C40" s="282"/>
      <c r="D40" s="126">
        <v>4460</v>
      </c>
      <c r="E40" s="126">
        <v>5950</v>
      </c>
      <c r="F40" s="242">
        <v>5570</v>
      </c>
      <c r="G40" s="123">
        <v>4402</v>
      </c>
      <c r="H40" s="123">
        <v>4743</v>
      </c>
      <c r="I40" s="123">
        <v>5280</v>
      </c>
      <c r="J40" s="123">
        <v>5829</v>
      </c>
      <c r="K40" s="123">
        <v>6118</v>
      </c>
      <c r="L40" s="282"/>
      <c r="M40" s="282"/>
      <c r="N40" s="282"/>
    </row>
    <row r="41" spans="2:14" x14ac:dyDescent="0.25">
      <c r="B41" s="145" t="s">
        <v>125</v>
      </c>
      <c r="C41" s="282"/>
      <c r="D41" s="127">
        <f t="shared" ref="D41:K41" si="12">+D40/D38</f>
        <v>0.14064963733837907</v>
      </c>
      <c r="E41" s="127">
        <f t="shared" si="12"/>
        <v>0.17306573589296104</v>
      </c>
      <c r="F41" s="244">
        <f t="shared" si="12"/>
        <v>0.17979341510652033</v>
      </c>
      <c r="G41" s="124">
        <f t="shared" si="12"/>
        <v>0.14592587681495725</v>
      </c>
      <c r="H41" s="124">
        <f t="shared" si="12"/>
        <v>0.14678302850246031</v>
      </c>
      <c r="I41" s="124">
        <f t="shared" si="12"/>
        <v>0.15463917525773196</v>
      </c>
      <c r="J41" s="124">
        <f t="shared" si="12"/>
        <v>0.16415205284406315</v>
      </c>
      <c r="K41" s="124">
        <f t="shared" si="12"/>
        <v>0.16566409651015121</v>
      </c>
      <c r="L41" s="282"/>
      <c r="M41" s="282"/>
      <c r="N41" s="282"/>
    </row>
    <row r="42" spans="2:14" x14ac:dyDescent="0.25">
      <c r="B42" s="144" t="s">
        <v>134</v>
      </c>
      <c r="C42" s="282"/>
      <c r="D42" s="126">
        <v>66884</v>
      </c>
      <c r="E42" s="126">
        <v>73780</v>
      </c>
      <c r="F42" s="242">
        <v>79275</v>
      </c>
      <c r="G42" s="125">
        <f>+F42-F45-F43+G47</f>
        <v>78278.046555424909</v>
      </c>
      <c r="H42" s="125">
        <f>+G42-G45-G43+H47</f>
        <v>75616.0763134226</v>
      </c>
      <c r="I42" s="125">
        <f>+H42-H45-H43+I47</f>
        <v>73820.988654992048</v>
      </c>
      <c r="J42" s="125">
        <f>+I42-I45-I43+J47</f>
        <v>72464.472889682089</v>
      </c>
      <c r="K42" s="125">
        <f>+J42-J45-J43+K47</f>
        <v>70963.185269498688</v>
      </c>
      <c r="L42" s="282"/>
      <c r="M42" s="282"/>
      <c r="N42" s="282"/>
    </row>
    <row r="43" spans="2:14" x14ac:dyDescent="0.25">
      <c r="B43" s="144" t="s">
        <v>130</v>
      </c>
      <c r="C43" s="282"/>
      <c r="D43" s="126">
        <v>5504</v>
      </c>
      <c r="E43" s="126">
        <v>4768</v>
      </c>
      <c r="F43" s="242">
        <v>3108</v>
      </c>
      <c r="G43" s="300">
        <f>G42*G44</f>
        <v>4856.4114037659474</v>
      </c>
      <c r="H43" s="300">
        <f t="shared" ref="H43:K43" si="13">H42*H44</f>
        <v>4180.8225972195278</v>
      </c>
      <c r="I43" s="300">
        <f t="shared" si="13"/>
        <v>3851.8796679598331</v>
      </c>
      <c r="J43" s="300">
        <f t="shared" si="13"/>
        <v>4094.4675871041641</v>
      </c>
      <c r="K43" s="300">
        <f t="shared" si="13"/>
        <v>3878.655723338557</v>
      </c>
      <c r="L43" s="282"/>
      <c r="M43" s="282"/>
      <c r="N43" s="282"/>
    </row>
    <row r="44" spans="2:14" x14ac:dyDescent="0.25">
      <c r="B44" s="145" t="s">
        <v>135</v>
      </c>
      <c r="C44" s="282"/>
      <c r="D44" s="127">
        <f>+D43/D42</f>
        <v>8.2291728963578739E-2</v>
      </c>
      <c r="E44" s="127">
        <f>+E43/E42</f>
        <v>6.4624559501219841E-2</v>
      </c>
      <c r="F44" s="244">
        <f>+F43/F42</f>
        <v>3.9205298013245037E-2</v>
      </c>
      <c r="G44" s="294">
        <f>AVERAGE(D44:F44)</f>
        <v>6.2040528826014546E-2</v>
      </c>
      <c r="H44" s="294">
        <f>AVERAGE(E44:G44)</f>
        <v>5.5290128780159813E-2</v>
      </c>
      <c r="I44" s="294">
        <f t="shared" ref="I44:J44" si="14">AVERAGE(F44:H44)</f>
        <v>5.2178651873139803E-2</v>
      </c>
      <c r="J44" s="294">
        <f t="shared" si="14"/>
        <v>5.650310315977139E-2</v>
      </c>
      <c r="K44" s="294">
        <f>AVERAGE(H44:J44)</f>
        <v>5.4657294604357004E-2</v>
      </c>
      <c r="L44" s="282"/>
      <c r="M44" s="282"/>
      <c r="N44" s="282"/>
    </row>
    <row r="45" spans="2:14" x14ac:dyDescent="0.25">
      <c r="B45" s="144" t="s">
        <v>131</v>
      </c>
      <c r="C45" s="282"/>
      <c r="D45" s="126">
        <v>239</v>
      </c>
      <c r="E45" s="126">
        <v>237</v>
      </c>
      <c r="F45" s="242">
        <v>222</v>
      </c>
      <c r="G45" s="300">
        <f>G42*G46</f>
        <v>250.12398041873234</v>
      </c>
      <c r="H45" s="300">
        <f t="shared" ref="H45:K45" si="15">H42*H46</f>
        <v>232.08989473762963</v>
      </c>
      <c r="I45" s="300">
        <f t="shared" si="15"/>
        <v>223.06304102819678</v>
      </c>
      <c r="J45" s="300">
        <f t="shared" si="15"/>
        <v>224.30947261607341</v>
      </c>
      <c r="K45" s="300">
        <f t="shared" si="15"/>
        <v>217.29956647407317</v>
      </c>
      <c r="L45" s="282"/>
      <c r="M45" s="282"/>
      <c r="N45" s="282"/>
    </row>
    <row r="46" spans="2:14" x14ac:dyDescent="0.25">
      <c r="B46" s="145" t="s">
        <v>135</v>
      </c>
      <c r="C46" s="282"/>
      <c r="D46" s="127">
        <f>+D45/D42</f>
        <v>3.5733508761437711E-3</v>
      </c>
      <c r="E46" s="127">
        <f>+E45/E42</f>
        <v>3.2122526429926809E-3</v>
      </c>
      <c r="F46" s="244">
        <f>+F45/F42</f>
        <v>2.8003784295175024E-3</v>
      </c>
      <c r="G46" s="294">
        <f>AVERAGE(D46:F46)</f>
        <v>3.1953273162179849E-3</v>
      </c>
      <c r="H46" s="294">
        <f t="shared" ref="H46:K46" si="16">AVERAGE(E46:G46)</f>
        <v>3.0693194629093892E-3</v>
      </c>
      <c r="I46" s="294">
        <f t="shared" si="16"/>
        <v>3.0216750695482922E-3</v>
      </c>
      <c r="J46" s="294">
        <f t="shared" si="16"/>
        <v>3.095440616225222E-3</v>
      </c>
      <c r="K46" s="294">
        <f t="shared" si="16"/>
        <v>3.0621450495609674E-3</v>
      </c>
      <c r="L46" s="282"/>
      <c r="M46" s="282"/>
      <c r="N46" s="282"/>
    </row>
    <row r="47" spans="2:14" x14ac:dyDescent="0.25">
      <c r="B47" s="144" t="s">
        <v>62</v>
      </c>
      <c r="C47" s="282"/>
      <c r="D47" s="126">
        <v>2613</v>
      </c>
      <c r="E47" s="126">
        <v>2496</v>
      </c>
      <c r="F47" s="242">
        <v>2386</v>
      </c>
      <c r="G47" s="300">
        <f>+G48*G38</f>
        <v>2333.0465554249122</v>
      </c>
      <c r="H47" s="300">
        <f t="shared" ref="H47:K47" si="17">+H48*H38</f>
        <v>2444.5651421823763</v>
      </c>
      <c r="I47" s="300">
        <f t="shared" si="17"/>
        <v>2617.8248335265912</v>
      </c>
      <c r="J47" s="300">
        <f t="shared" si="17"/>
        <v>2718.4269436780696</v>
      </c>
      <c r="K47" s="300">
        <f t="shared" si="17"/>
        <v>2817.489439536846</v>
      </c>
      <c r="L47" s="282"/>
      <c r="M47" s="282"/>
      <c r="N47" s="282"/>
    </row>
    <row r="48" spans="2:14" x14ac:dyDescent="0.25">
      <c r="B48" s="145" t="s">
        <v>127</v>
      </c>
      <c r="C48" s="282"/>
      <c r="D48" s="127">
        <f>+D47/D38</f>
        <v>8.2403027436140017E-2</v>
      </c>
      <c r="E48" s="127">
        <f>+E47/E38</f>
        <v>7.2600349040139622E-2</v>
      </c>
      <c r="F48" s="244">
        <f>+F47/F38</f>
        <v>7.7017430600387349E-2</v>
      </c>
      <c r="G48" s="294">
        <f>+AVERAGE(D48:F48)</f>
        <v>7.7340269025555672E-2</v>
      </c>
      <c r="H48" s="294">
        <f>+AVERAGE(E48:G48)</f>
        <v>7.5652682888694214E-2</v>
      </c>
      <c r="I48" s="294">
        <f>+AVERAGE(F48:H48)</f>
        <v>7.6670127504879074E-2</v>
      </c>
      <c r="J48" s="294">
        <f>+AVERAGE(G48:I48)</f>
        <v>7.6554359806376315E-2</v>
      </c>
      <c r="K48" s="294">
        <f>+AVERAGE(H48:J48)</f>
        <v>7.6292390066649868E-2</v>
      </c>
      <c r="L48" s="282"/>
      <c r="M48" s="282"/>
      <c r="N48" s="282"/>
    </row>
    <row r="50" spans="2:11" x14ac:dyDescent="0.25">
      <c r="B50" s="247" t="s">
        <v>137</v>
      </c>
      <c r="C50" s="248"/>
      <c r="D50" s="249">
        <v>2021</v>
      </c>
      <c r="E50" s="249">
        <f>+D50+1</f>
        <v>2022</v>
      </c>
      <c r="F50" s="250">
        <f>+E50+1</f>
        <v>2023</v>
      </c>
      <c r="G50" s="251">
        <f t="shared" ref="G50" si="18">+F50+1</f>
        <v>2024</v>
      </c>
      <c r="H50" s="251">
        <f t="shared" ref="H50" si="19">+G50+1</f>
        <v>2025</v>
      </c>
      <c r="I50" s="251">
        <f t="shared" ref="I50" si="20">+H50+1</f>
        <v>2026</v>
      </c>
      <c r="J50" s="251">
        <f>+I50+1</f>
        <v>2027</v>
      </c>
      <c r="K50" s="251">
        <f t="shared" ref="K50" si="21">+J50+1</f>
        <v>2028</v>
      </c>
    </row>
    <row r="51" spans="2:11" ht="3.75" customHeight="1" x14ac:dyDescent="0.25">
      <c r="B51" s="298" t="s">
        <v>124</v>
      </c>
      <c r="C51" s="298"/>
      <c r="D51" s="298"/>
      <c r="E51" s="298"/>
      <c r="F51" s="299"/>
      <c r="G51" s="298"/>
      <c r="H51" s="298"/>
      <c r="I51" s="298"/>
      <c r="J51" s="298"/>
      <c r="K51" s="298"/>
    </row>
    <row r="52" spans="2:11" x14ac:dyDescent="0.25">
      <c r="B52" s="241" t="s">
        <v>5</v>
      </c>
      <c r="C52" s="282"/>
      <c r="D52" s="126">
        <v>10040</v>
      </c>
      <c r="E52" s="126">
        <v>13210</v>
      </c>
      <c r="F52" s="242">
        <v>14390</v>
      </c>
      <c r="G52" s="123">
        <v>14291</v>
      </c>
      <c r="H52" s="292">
        <f>+G52*(1+H53)</f>
        <v>15205.624000000002</v>
      </c>
      <c r="I52" s="292">
        <f>+H52*(1+I53)</f>
        <v>16178.783936000003</v>
      </c>
      <c r="J52" s="292">
        <f>+I52*(1+J53)</f>
        <v>17214.226107904004</v>
      </c>
      <c r="K52" s="292">
        <f>+J52*(1+K53)</f>
        <v>18315.936578809862</v>
      </c>
    </row>
    <row r="53" spans="2:11" x14ac:dyDescent="0.25">
      <c r="B53" s="141" t="s">
        <v>125</v>
      </c>
      <c r="C53" s="282"/>
      <c r="D53" s="243"/>
      <c r="E53" s="127">
        <f>+(E52-D52)/D52</f>
        <v>0.31573705179282868</v>
      </c>
      <c r="F53" s="244">
        <f>+(F52-E52)/E52</f>
        <v>8.9326267978803942E-2</v>
      </c>
      <c r="G53" s="128">
        <f>+(G52-F52)/F52</f>
        <v>-6.8797776233495483E-3</v>
      </c>
      <c r="H53" s="129">
        <v>6.4000000000000001E-2</v>
      </c>
      <c r="I53" s="129">
        <v>6.4000000000000001E-2</v>
      </c>
      <c r="J53" s="129">
        <v>6.4000000000000001E-2</v>
      </c>
      <c r="K53" s="129">
        <v>6.4000000000000001E-2</v>
      </c>
    </row>
    <row r="54" spans="2:11" x14ac:dyDescent="0.25">
      <c r="B54" s="144" t="s">
        <v>126</v>
      </c>
      <c r="C54" s="282"/>
      <c r="D54" s="126">
        <v>600</v>
      </c>
      <c r="E54" s="126">
        <v>880</v>
      </c>
      <c r="F54" s="242">
        <v>1170</v>
      </c>
      <c r="G54" s="123">
        <v>1227</v>
      </c>
      <c r="H54" s="132">
        <f>+H55*H52</f>
        <v>1368.5061600000001</v>
      </c>
      <c r="I54" s="132">
        <f>+I55*I52</f>
        <v>1472.2693381760002</v>
      </c>
      <c r="J54" s="132">
        <f>+J55*J52</f>
        <v>1583.7088019271682</v>
      </c>
      <c r="K54" s="132">
        <f>+K55*K52</f>
        <v>1703.3821018293172</v>
      </c>
    </row>
    <row r="55" spans="2:11" x14ac:dyDescent="0.25">
      <c r="B55" s="145" t="s">
        <v>125</v>
      </c>
      <c r="C55" s="282"/>
      <c r="D55" s="127">
        <f>+D54/D52</f>
        <v>5.9760956175298807E-2</v>
      </c>
      <c r="E55" s="127">
        <f>+E54/E52</f>
        <v>6.6616199848599553E-2</v>
      </c>
      <c r="F55" s="244">
        <f>+F54/F52</f>
        <v>8.1306462821403747E-2</v>
      </c>
      <c r="G55" s="124">
        <f>+G54/G52</f>
        <v>8.5858232453992017E-2</v>
      </c>
      <c r="H55" s="129">
        <v>0.09</v>
      </c>
      <c r="I55" s="129">
        <v>9.0999999999999998E-2</v>
      </c>
      <c r="J55" s="129">
        <v>9.1999999999999998E-2</v>
      </c>
      <c r="K55" s="129">
        <v>9.2999999999999999E-2</v>
      </c>
    </row>
    <row r="56" spans="2:11" x14ac:dyDescent="0.25">
      <c r="B56" s="144" t="s">
        <v>130</v>
      </c>
      <c r="C56" s="282"/>
      <c r="D56" s="126">
        <v>311</v>
      </c>
      <c r="E56" s="126">
        <v>331</v>
      </c>
      <c r="F56" s="242">
        <v>327</v>
      </c>
      <c r="G56" s="293">
        <f>+G57*G52</f>
        <v>375.17202304880203</v>
      </c>
      <c r="H56" s="293">
        <f>+H57*H52</f>
        <v>375.24042238249814</v>
      </c>
      <c r="I56" s="293">
        <f>+I57*I52</f>
        <v>397.21169534876202</v>
      </c>
      <c r="J56" s="293">
        <f>+J57*J52</f>
        <v>433.11831315227511</v>
      </c>
      <c r="K56" s="293">
        <f>+K57*K52</f>
        <v>454.17185382234402</v>
      </c>
    </row>
    <row r="57" spans="2:11" x14ac:dyDescent="0.25">
      <c r="B57" s="145" t="s">
        <v>127</v>
      </c>
      <c r="C57" s="282"/>
      <c r="D57" s="127">
        <f>+D56/D52</f>
        <v>3.097609561752988E-2</v>
      </c>
      <c r="E57" s="127">
        <f>+E56/E52</f>
        <v>2.5056775170325511E-2</v>
      </c>
      <c r="F57" s="244">
        <f>+F56/F52</f>
        <v>2.2724113968033356E-2</v>
      </c>
      <c r="G57" s="294">
        <f>+AVERAGE(D57:F57)</f>
        <v>2.6252328251962914E-2</v>
      </c>
      <c r="H57" s="294">
        <f>+AVERAGE(E57:G57)</f>
        <v>2.4677739130107262E-2</v>
      </c>
      <c r="I57" s="294">
        <f>+AVERAGE(F57:H57)</f>
        <v>2.4551393783367844E-2</v>
      </c>
      <c r="J57" s="294">
        <f>+AVERAGE(G57:I57)</f>
        <v>2.5160487055146008E-2</v>
      </c>
      <c r="K57" s="294">
        <f>+AVERAGE(H57:J57)</f>
        <v>2.4796539989540373E-2</v>
      </c>
    </row>
    <row r="58" spans="2:11" x14ac:dyDescent="0.25">
      <c r="B58" s="144" t="s">
        <v>131</v>
      </c>
      <c r="C58" s="282"/>
      <c r="D58" s="126">
        <v>229</v>
      </c>
      <c r="E58" s="126">
        <v>211</v>
      </c>
      <c r="F58" s="242">
        <v>201</v>
      </c>
      <c r="G58" s="293">
        <f>+G59*G52</f>
        <v>251.28125498609481</v>
      </c>
      <c r="H58" s="293">
        <f>+H59*H52</f>
        <v>240.87717254505401</v>
      </c>
      <c r="I58" s="293">
        <f>+I59*I52</f>
        <v>255.58453630609691</v>
      </c>
      <c r="J58" s="293">
        <f>+J59*J52</f>
        <v>282.43963401241797</v>
      </c>
      <c r="K58" s="293">
        <f>+K59*K52</f>
        <v>293.3368782262192</v>
      </c>
    </row>
    <row r="59" spans="2:11" x14ac:dyDescent="0.25">
      <c r="B59" s="145" t="s">
        <v>127</v>
      </c>
      <c r="C59" s="282"/>
      <c r="D59" s="127">
        <f>+D58/D52</f>
        <v>2.2808764940239045E-2</v>
      </c>
      <c r="E59" s="127">
        <f>+E58/E52</f>
        <v>1.5972747918243754E-2</v>
      </c>
      <c r="F59" s="244">
        <f>+F58/F52</f>
        <v>1.3968033356497567E-2</v>
      </c>
      <c r="G59" s="294">
        <f>+AVERAGE(D59:F59)</f>
        <v>1.7583182071660122E-2</v>
      </c>
      <c r="H59" s="294">
        <f>+AVERAGE(E59:G59)</f>
        <v>1.5841321115467145E-2</v>
      </c>
      <c r="I59" s="294">
        <f>+AVERAGE(F59:H59)</f>
        <v>1.5797512181208281E-2</v>
      </c>
      <c r="J59" s="294">
        <f>+AVERAGE(G59:I59)</f>
        <v>1.640733845611185E-2</v>
      </c>
      <c r="K59" s="294">
        <f>+AVERAGE(H59:J59)</f>
        <v>1.6015390584262424E-2</v>
      </c>
    </row>
    <row r="61" spans="2:11" x14ac:dyDescent="0.25">
      <c r="B61" s="133"/>
      <c r="C61" s="134"/>
      <c r="D61" s="135"/>
      <c r="E61" s="135"/>
      <c r="F61" s="135"/>
      <c r="G61" s="136"/>
      <c r="H61" s="136"/>
      <c r="I61" s="136"/>
      <c r="J61" s="136"/>
      <c r="K61" s="136"/>
    </row>
    <row r="62" spans="2:11" x14ac:dyDescent="0.25">
      <c r="B62" s="301"/>
      <c r="C62" s="301"/>
      <c r="D62" s="301"/>
      <c r="E62" s="301"/>
      <c r="F62" s="301"/>
      <c r="G62" s="301"/>
      <c r="H62" s="301"/>
      <c r="I62" s="301"/>
      <c r="J62" s="301"/>
      <c r="K62" s="301"/>
    </row>
    <row r="63" spans="2:11" ht="30" x14ac:dyDescent="0.25">
      <c r="B63" s="137" t="s">
        <v>138</v>
      </c>
      <c r="C63" s="282"/>
      <c r="D63" s="138" t="s">
        <v>139</v>
      </c>
      <c r="E63" s="139"/>
      <c r="F63" s="139"/>
      <c r="G63" s="139"/>
      <c r="H63" s="139"/>
      <c r="I63" s="140"/>
      <c r="J63" s="140"/>
      <c r="K63" s="140"/>
    </row>
    <row r="64" spans="2:11" x14ac:dyDescent="0.25">
      <c r="B64" s="141"/>
      <c r="C64" s="282"/>
      <c r="D64" s="142"/>
      <c r="E64" s="143"/>
      <c r="F64" s="143"/>
      <c r="G64" s="143"/>
      <c r="H64" s="143"/>
      <c r="I64" s="140"/>
      <c r="J64" s="140"/>
      <c r="K64" s="140"/>
    </row>
    <row r="65" spans="2:11" x14ac:dyDescent="0.25">
      <c r="B65" s="144"/>
      <c r="C65" s="282"/>
      <c r="D65" s="139"/>
      <c r="E65" s="139"/>
      <c r="F65" s="139"/>
      <c r="G65" s="139"/>
      <c r="H65" s="139"/>
      <c r="I65" s="140"/>
      <c r="J65" s="140"/>
      <c r="K65" s="140"/>
    </row>
    <row r="66" spans="2:11" x14ac:dyDescent="0.25">
      <c r="B66" s="145"/>
      <c r="C66" s="282"/>
      <c r="D66" s="143"/>
      <c r="E66" s="143"/>
      <c r="F66" s="143"/>
      <c r="G66" s="146"/>
      <c r="H66" s="146"/>
      <c r="I66" s="140"/>
      <c r="J66" s="140"/>
      <c r="K66" s="140"/>
    </row>
    <row r="67" spans="2:11" x14ac:dyDescent="0.25">
      <c r="B67" s="144"/>
      <c r="C67" s="282"/>
      <c r="D67" s="139"/>
      <c r="E67" s="139"/>
      <c r="F67" s="139"/>
      <c r="G67" s="140"/>
      <c r="H67" s="140"/>
      <c r="I67" s="140"/>
      <c r="J67" s="140"/>
      <c r="K67" s="140"/>
    </row>
    <row r="68" spans="2:11" x14ac:dyDescent="0.25">
      <c r="B68" s="144"/>
      <c r="C68" s="282"/>
      <c r="D68" s="139"/>
      <c r="E68" s="139"/>
      <c r="F68" s="139"/>
      <c r="G68" s="282"/>
      <c r="H68" s="282"/>
      <c r="I68" s="282"/>
      <c r="J68" s="282"/>
      <c r="K68" s="282"/>
    </row>
    <row r="69" spans="2:11" x14ac:dyDescent="0.25">
      <c r="B69" s="145"/>
      <c r="C69" s="282"/>
      <c r="D69" s="143"/>
      <c r="E69" s="143"/>
      <c r="F69" s="143"/>
      <c r="G69" s="282"/>
      <c r="H69" s="282"/>
      <c r="I69" s="282"/>
      <c r="J69" s="282"/>
      <c r="K69" s="282"/>
    </row>
    <row r="70" spans="2:11" x14ac:dyDescent="0.25">
      <c r="B70" s="144"/>
      <c r="C70" s="282"/>
      <c r="D70" s="139"/>
      <c r="E70" s="139"/>
      <c r="F70" s="139"/>
      <c r="G70" s="282"/>
      <c r="H70" s="282"/>
      <c r="I70" s="282"/>
      <c r="J70" s="282"/>
      <c r="K70" s="282"/>
    </row>
    <row r="71" spans="2:11" x14ac:dyDescent="0.25">
      <c r="B71" s="145"/>
      <c r="C71" s="282"/>
      <c r="D71" s="143"/>
      <c r="E71" s="143"/>
      <c r="F71" s="143"/>
      <c r="G71" s="282"/>
      <c r="H71" s="282"/>
      <c r="I71" s="282"/>
      <c r="J71" s="282"/>
      <c r="K71" s="282"/>
    </row>
    <row r="72" spans="2:11" x14ac:dyDescent="0.25">
      <c r="B72" s="144"/>
      <c r="C72" s="282"/>
      <c r="D72" s="139"/>
      <c r="E72" s="139"/>
      <c r="F72" s="139"/>
      <c r="G72" s="282"/>
      <c r="H72" s="282"/>
      <c r="I72" s="282"/>
      <c r="J72" s="282"/>
      <c r="K72" s="282"/>
    </row>
    <row r="73" spans="2:11" x14ac:dyDescent="0.25">
      <c r="B73" s="145"/>
      <c r="C73" s="282"/>
      <c r="D73" s="143"/>
      <c r="E73" s="143"/>
      <c r="F73" s="143"/>
      <c r="G73" s="282"/>
      <c r="H73" s="282"/>
      <c r="I73" s="282"/>
      <c r="J73" s="282"/>
      <c r="K73" s="282"/>
    </row>
  </sheetData>
  <hyperlinks>
    <hyperlink ref="B63" r:id="rId1" xr:uid="{78655FAD-3BA2-414D-B30F-1389330292C1}"/>
    <hyperlink ref="D63" r:id="rId2" xr:uid="{5D3D920E-DEDA-43D4-A4D6-78DD4A62871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C4093-A403-42F2-8ADE-DFF6C4595701}">
  <sheetPr codeName="Sheet4"/>
  <dimension ref="B2:K22"/>
  <sheetViews>
    <sheetView showGridLines="0" workbookViewId="0">
      <selection activeCell="G22" sqref="G22"/>
    </sheetView>
  </sheetViews>
  <sheetFormatPr defaultRowHeight="14.25" x14ac:dyDescent="0.2"/>
  <cols>
    <col min="1" max="5" width="9.140625" style="1"/>
    <col min="6" max="6" width="9.28515625" style="1" customWidth="1"/>
    <col min="7" max="7" width="14.28515625" style="1" bestFit="1" customWidth="1"/>
    <col min="8" max="8" width="9.140625" style="1"/>
    <col min="9" max="9" width="12.42578125" style="1" customWidth="1"/>
    <col min="10" max="10" width="8.5703125" style="1" customWidth="1"/>
    <col min="11" max="16384" width="9.140625" style="1"/>
  </cols>
  <sheetData>
    <row r="2" spans="2:11" s="3" customFormat="1" ht="20.100000000000001" customHeight="1" x14ac:dyDescent="0.3">
      <c r="B2" s="2" t="s">
        <v>6</v>
      </c>
    </row>
    <row r="4" spans="2:11" x14ac:dyDescent="0.2">
      <c r="B4" s="1" t="s">
        <v>140</v>
      </c>
    </row>
    <row r="5" spans="2:11" x14ac:dyDescent="0.2">
      <c r="B5" s="1" t="s">
        <v>141</v>
      </c>
    </row>
    <row r="7" spans="2:11" x14ac:dyDescent="0.2">
      <c r="B7" s="268" t="s">
        <v>6</v>
      </c>
      <c r="C7" s="269"/>
      <c r="D7" s="269"/>
      <c r="E7" s="269"/>
      <c r="F7" s="269"/>
      <c r="G7" s="270"/>
      <c r="I7" s="271" t="s">
        <v>142</v>
      </c>
      <c r="J7" s="272" t="s">
        <v>143</v>
      </c>
      <c r="K7" s="272" t="s">
        <v>144</v>
      </c>
    </row>
    <row r="8" spans="2:11" x14ac:dyDescent="0.2">
      <c r="B8" s="1" t="s">
        <v>145</v>
      </c>
      <c r="G8" s="12">
        <v>365744</v>
      </c>
      <c r="I8" s="1" t="s">
        <v>146</v>
      </c>
      <c r="J8" s="1">
        <v>0.35</v>
      </c>
      <c r="K8" s="13">
        <v>5.2999999999999999E-2</v>
      </c>
    </row>
    <row r="9" spans="2:11" x14ac:dyDescent="0.2">
      <c r="B9" s="1" t="s">
        <v>147</v>
      </c>
      <c r="G9" s="4">
        <f>+G8/G20</f>
        <v>0.96646707219752981</v>
      </c>
      <c r="I9" s="1" t="s">
        <v>148</v>
      </c>
      <c r="J9" s="1">
        <v>0.18</v>
      </c>
      <c r="K9" s="5">
        <v>7.6399999999999996E-2</v>
      </c>
    </row>
    <row r="10" spans="2:11" x14ac:dyDescent="0.2">
      <c r="B10" s="1" t="s">
        <v>149</v>
      </c>
      <c r="G10" s="5">
        <f>+G11+G12*G13</f>
        <v>7.3924903999999986E-2</v>
      </c>
      <c r="I10" s="1" t="s">
        <v>150</v>
      </c>
      <c r="J10" s="1">
        <v>0.17</v>
      </c>
      <c r="K10" s="5">
        <v>5.3199999999999997E-2</v>
      </c>
    </row>
    <row r="11" spans="2:11" x14ac:dyDescent="0.2">
      <c r="B11" s="1" t="s">
        <v>151</v>
      </c>
      <c r="G11" s="9">
        <v>2.8060000000000002E-2</v>
      </c>
      <c r="I11" s="1" t="s">
        <v>152</v>
      </c>
      <c r="J11" s="1">
        <v>0.17</v>
      </c>
      <c r="K11" s="5">
        <v>7.7499999999999999E-2</v>
      </c>
    </row>
    <row r="12" spans="2:11" x14ac:dyDescent="0.2">
      <c r="B12" s="1" t="s">
        <v>153</v>
      </c>
      <c r="G12" s="10">
        <v>0.74</v>
      </c>
      <c r="I12" s="1" t="s">
        <v>154</v>
      </c>
      <c r="J12" s="1">
        <v>0.11</v>
      </c>
      <c r="K12" s="5">
        <v>5.6300000000000003E-2</v>
      </c>
    </row>
    <row r="13" spans="2:11" x14ac:dyDescent="0.2">
      <c r="B13" s="1" t="s">
        <v>155</v>
      </c>
      <c r="G13" s="9">
        <f>SUMPRODUCT(J8:J13,K8:K13)</f>
        <v>6.1979599999999982E-2</v>
      </c>
      <c r="I13" s="1" t="s">
        <v>156</v>
      </c>
      <c r="J13" s="1">
        <f>1-SUM(J8:J12)</f>
        <v>1.9999999999999907E-2</v>
      </c>
      <c r="K13" s="5">
        <f>AVERAGE(K8:K12)</f>
        <v>6.3280000000000003E-2</v>
      </c>
    </row>
    <row r="15" spans="2:11" x14ac:dyDescent="0.2">
      <c r="B15" s="1" t="s">
        <v>116</v>
      </c>
      <c r="G15" s="11">
        <v>12690</v>
      </c>
    </row>
    <row r="16" spans="2:11" x14ac:dyDescent="0.2">
      <c r="B16" s="1" t="s">
        <v>157</v>
      </c>
      <c r="G16" s="4">
        <f>+G15/G20</f>
        <v>3.3532927802470178E-2</v>
      </c>
    </row>
    <row r="17" spans="2:7" x14ac:dyDescent="0.2">
      <c r="B17" s="1" t="s">
        <v>158</v>
      </c>
      <c r="G17" s="9">
        <v>5.5199999999999999E-2</v>
      </c>
    </row>
    <row r="18" spans="2:7" x14ac:dyDescent="0.2">
      <c r="B18" s="1" t="s">
        <v>159</v>
      </c>
      <c r="G18" s="9">
        <v>0.28599999999999998</v>
      </c>
    </row>
    <row r="20" spans="2:7" x14ac:dyDescent="0.2">
      <c r="B20" s="1" t="s">
        <v>160</v>
      </c>
      <c r="G20" s="6">
        <f>+G8+G15</f>
        <v>378434</v>
      </c>
    </row>
    <row r="22" spans="2:7" x14ac:dyDescent="0.2">
      <c r="B22" s="7" t="s">
        <v>6</v>
      </c>
      <c r="G22" s="8">
        <f>+G9*G10+G16*G17*(1-G18)</f>
        <v>7.2767612108256635E-2</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12F0-1DFB-4415-A8F4-08D2AE31F589}">
  <sheetPr codeName="Sheet5"/>
  <dimension ref="B2:AD96"/>
  <sheetViews>
    <sheetView showGridLines="0" zoomScale="160" zoomScaleNormal="160" workbookViewId="0">
      <selection activeCell="H31" sqref="H31"/>
    </sheetView>
  </sheetViews>
  <sheetFormatPr defaultRowHeight="15" x14ac:dyDescent="0.25"/>
  <cols>
    <col min="2" max="2" width="37.140625" customWidth="1"/>
    <col min="3" max="3" width="2.5703125" customWidth="1"/>
    <col min="4" max="4" width="0.85546875" customWidth="1"/>
    <col min="5" max="5" width="6.42578125" customWidth="1"/>
    <col min="6" max="6" width="12" customWidth="1"/>
    <col min="9" max="9" width="10.5703125" bestFit="1" customWidth="1"/>
    <col min="10" max="10" width="6.42578125" customWidth="1"/>
    <col min="11" max="11" width="11.140625" customWidth="1"/>
    <col min="17" max="17" width="46.140625" customWidth="1"/>
    <col min="18" max="19" width="2.7109375" customWidth="1"/>
    <col min="21" max="21" width="11" customWidth="1"/>
  </cols>
  <sheetData>
    <row r="2" spans="2:17" x14ac:dyDescent="0.25">
      <c r="B2" s="153" t="s">
        <v>161</v>
      </c>
      <c r="C2" s="153"/>
      <c r="D2" s="153"/>
      <c r="E2" s="314" t="s">
        <v>162</v>
      </c>
      <c r="F2" s="314"/>
    </row>
    <row r="3" spans="2:17" ht="3.95" customHeight="1" x14ac:dyDescent="0.25">
      <c r="B3" s="155"/>
      <c r="C3" s="155"/>
      <c r="D3" s="155"/>
      <c r="E3" s="315"/>
      <c r="F3" s="315"/>
    </row>
    <row r="4" spans="2:17" ht="11.45" customHeight="1" x14ac:dyDescent="0.25">
      <c r="B4" s="156" t="s">
        <v>163</v>
      </c>
      <c r="C4" s="156"/>
      <c r="D4" s="156"/>
      <c r="E4" s="150"/>
      <c r="F4" s="150" t="s">
        <v>164</v>
      </c>
      <c r="H4" t="s">
        <v>165</v>
      </c>
      <c r="K4">
        <v>108632515</v>
      </c>
      <c r="L4" s="166">
        <f>+K4/$K$9</f>
        <v>0.41953504837000061</v>
      </c>
      <c r="M4" s="165">
        <f>+$L$9-L4</f>
        <v>0.58046495162999934</v>
      </c>
    </row>
    <row r="5" spans="2:17" ht="11.45" customHeight="1" x14ac:dyDescent="0.25">
      <c r="B5" s="156" t="s">
        <v>166</v>
      </c>
      <c r="C5" s="156"/>
      <c r="D5" s="156"/>
      <c r="E5" s="150"/>
      <c r="F5" s="150" t="s">
        <v>167</v>
      </c>
      <c r="H5" t="s">
        <v>168</v>
      </c>
      <c r="K5">
        <v>44125386</v>
      </c>
      <c r="L5" s="166">
        <f t="shared" ref="L5:L8" si="0">+K5/$K$9</f>
        <v>0.17041072785486874</v>
      </c>
      <c r="M5" s="165">
        <f t="shared" ref="M5:M8" si="1">+$L$9-L5</f>
        <v>0.82958927214513123</v>
      </c>
    </row>
    <row r="6" spans="2:17" ht="11.45" customHeight="1" x14ac:dyDescent="0.25">
      <c r="B6" s="155" t="s">
        <v>169</v>
      </c>
      <c r="C6" s="155"/>
      <c r="D6" s="155"/>
      <c r="E6" s="151"/>
      <c r="F6" s="157">
        <v>56300</v>
      </c>
      <c r="H6" t="s">
        <v>170</v>
      </c>
      <c r="K6">
        <v>30975373</v>
      </c>
      <c r="L6" s="166">
        <f t="shared" si="0"/>
        <v>0.11962582850847014</v>
      </c>
      <c r="M6" s="165">
        <f t="shared" si="1"/>
        <v>0.88037417149152986</v>
      </c>
    </row>
    <row r="7" spans="2:17" ht="11.45" customHeight="1" x14ac:dyDescent="0.25">
      <c r="B7" s="155" t="s">
        <v>171</v>
      </c>
      <c r="C7" s="155"/>
      <c r="D7" s="155"/>
      <c r="E7" s="151"/>
      <c r="F7" s="157">
        <v>94800</v>
      </c>
      <c r="H7" t="s">
        <v>172</v>
      </c>
      <c r="K7">
        <v>30375193</v>
      </c>
      <c r="L7" s="166">
        <f t="shared" si="0"/>
        <v>0.11730795392616201</v>
      </c>
      <c r="M7" s="165">
        <f t="shared" si="1"/>
        <v>0.882692046073838</v>
      </c>
    </row>
    <row r="8" spans="2:17" ht="11.45" customHeight="1" x14ac:dyDescent="0.25">
      <c r="B8" s="155" t="s">
        <v>173</v>
      </c>
      <c r="C8" s="155"/>
      <c r="D8" s="155"/>
      <c r="E8" s="151"/>
      <c r="F8" s="158">
        <f>(F7/F6)-1</f>
        <v>0.68383658969804628</v>
      </c>
      <c r="H8" t="s">
        <v>174</v>
      </c>
      <c r="K8">
        <f>+K9-K4-K5-K6-K7</f>
        <v>44827027</v>
      </c>
      <c r="L8" s="166">
        <f t="shared" si="0"/>
        <v>0.1731204413404985</v>
      </c>
      <c r="M8" s="165">
        <f t="shared" si="1"/>
        <v>0.82687955865950147</v>
      </c>
    </row>
    <row r="9" spans="2:17" ht="11.45" customHeight="1" x14ac:dyDescent="0.25">
      <c r="B9" s="155" t="s">
        <v>97</v>
      </c>
      <c r="C9" s="155"/>
      <c r="D9" s="155"/>
      <c r="E9" s="151"/>
      <c r="F9" s="159" t="s">
        <v>175</v>
      </c>
      <c r="H9" t="s">
        <v>160</v>
      </c>
      <c r="K9">
        <v>258935494</v>
      </c>
      <c r="L9" s="165">
        <v>1</v>
      </c>
    </row>
    <row r="10" spans="2:17" ht="11.45" customHeight="1" x14ac:dyDescent="0.25">
      <c r="B10" s="161" t="s">
        <v>176</v>
      </c>
      <c r="C10" s="160"/>
      <c r="D10" s="161" t="s">
        <v>162</v>
      </c>
      <c r="E10" s="152" t="s">
        <v>162</v>
      </c>
      <c r="F10" s="152" t="s">
        <v>177</v>
      </c>
    </row>
    <row r="11" spans="2:17" ht="3.95" customHeight="1" x14ac:dyDescent="0.25">
      <c r="B11" s="155"/>
      <c r="C11" s="155"/>
      <c r="D11" s="155"/>
      <c r="E11" s="316"/>
      <c r="F11" s="316"/>
    </row>
    <row r="12" spans="2:17" ht="11.45" customHeight="1" x14ac:dyDescent="0.25">
      <c r="B12" s="155" t="s">
        <v>178</v>
      </c>
      <c r="C12" s="155"/>
      <c r="D12" s="155"/>
      <c r="E12" s="151"/>
      <c r="F12" s="157">
        <v>6793</v>
      </c>
      <c r="H12" t="s">
        <v>174</v>
      </c>
      <c r="K12">
        <f>+K8</f>
        <v>44827027</v>
      </c>
      <c r="L12" s="166">
        <f t="shared" ref="L12" si="2">+K12/$K$9</f>
        <v>0.1731204413404985</v>
      </c>
      <c r="M12" s="165">
        <f t="shared" ref="M12" si="3">+$L$9-L12</f>
        <v>0.82687955865950147</v>
      </c>
      <c r="Q12">
        <f>16264/F12</f>
        <v>2.3942293537465038</v>
      </c>
    </row>
    <row r="13" spans="2:17" ht="11.45" customHeight="1" x14ac:dyDescent="0.25">
      <c r="B13" s="155" t="s">
        <v>179</v>
      </c>
      <c r="C13" s="155"/>
      <c r="D13" s="155"/>
      <c r="E13" s="151"/>
      <c r="F13" s="157">
        <v>373888700</v>
      </c>
      <c r="H13" t="s">
        <v>180</v>
      </c>
      <c r="K13">
        <v>30375193</v>
      </c>
      <c r="L13" s="166">
        <f t="shared" ref="L13" si="4">+K13/$K$9</f>
        <v>0.11730795392616201</v>
      </c>
      <c r="M13" s="165">
        <f t="shared" ref="M13" si="5">+$L$9-L13</f>
        <v>0.882692046073838</v>
      </c>
    </row>
    <row r="14" spans="2:17" ht="11.45" customHeight="1" x14ac:dyDescent="0.25">
      <c r="B14" s="155" t="s">
        <v>181</v>
      </c>
      <c r="C14" s="155"/>
      <c r="D14" s="155"/>
      <c r="E14" s="151"/>
      <c r="F14" s="157">
        <v>2131</v>
      </c>
      <c r="H14" t="s">
        <v>170</v>
      </c>
      <c r="K14">
        <v>30975373</v>
      </c>
      <c r="L14" s="166">
        <f t="shared" ref="L14" si="6">+K14/$K$9</f>
        <v>0.11962582850847014</v>
      </c>
      <c r="M14" s="165">
        <f t="shared" ref="M14" si="7">+$L$9-L14</f>
        <v>0.88037417149152986</v>
      </c>
    </row>
    <row r="15" spans="2:17" ht="11.45" customHeight="1" x14ac:dyDescent="0.25">
      <c r="B15" s="155" t="s">
        <v>182</v>
      </c>
      <c r="C15" s="155"/>
      <c r="D15" s="155"/>
      <c r="E15" s="151"/>
      <c r="F15" s="151" t="s">
        <v>183</v>
      </c>
      <c r="H15" t="s">
        <v>168</v>
      </c>
      <c r="K15">
        <v>44125386</v>
      </c>
      <c r="L15" s="166">
        <f>+K15/$K$9</f>
        <v>0.17041072785486874</v>
      </c>
      <c r="M15" s="165">
        <f>+$L$9-L15</f>
        <v>0.82958927214513123</v>
      </c>
    </row>
    <row r="16" spans="2:17" ht="13.5" customHeight="1" x14ac:dyDescent="0.25">
      <c r="B16" s="155"/>
      <c r="C16" s="155"/>
      <c r="D16" s="155"/>
      <c r="E16" s="155"/>
      <c r="F16" s="155"/>
      <c r="H16" t="s">
        <v>184</v>
      </c>
      <c r="K16">
        <v>108632515</v>
      </c>
      <c r="L16" s="166">
        <f>+K16/$K$9</f>
        <v>0.41953504837000061</v>
      </c>
      <c r="M16" s="165">
        <f>+$L$9-L16</f>
        <v>0.58046495162999934</v>
      </c>
    </row>
    <row r="17" spans="2:21" ht="13.5" customHeight="1" x14ac:dyDescent="0.25">
      <c r="B17" s="153" t="s">
        <v>185</v>
      </c>
      <c r="C17" s="154" t="s">
        <v>162</v>
      </c>
      <c r="D17" s="154" t="s">
        <v>162</v>
      </c>
      <c r="E17" s="314" t="s">
        <v>162</v>
      </c>
      <c r="F17" s="314"/>
      <c r="H17" t="s">
        <v>160</v>
      </c>
      <c r="K17">
        <v>258935494</v>
      </c>
      <c r="L17" s="165">
        <v>1</v>
      </c>
      <c r="Q17" s="276"/>
      <c r="R17" s="274"/>
      <c r="S17" s="273"/>
      <c r="T17" s="275"/>
      <c r="U17" s="279"/>
    </row>
    <row r="18" spans="2:21" ht="3.95" customHeight="1" x14ac:dyDescent="0.25">
      <c r="B18" s="162"/>
      <c r="C18" s="155"/>
      <c r="D18" s="155"/>
      <c r="E18" s="155"/>
      <c r="F18" s="155"/>
      <c r="H18" s="162"/>
      <c r="I18" s="155"/>
      <c r="J18" s="155"/>
      <c r="K18" s="155"/>
      <c r="L18" s="155"/>
      <c r="Q18" s="276"/>
      <c r="R18" s="274"/>
      <c r="S18" s="273"/>
      <c r="T18" s="275"/>
      <c r="U18" s="279"/>
    </row>
    <row r="19" spans="2:21" ht="11.25" customHeight="1" x14ac:dyDescent="0.25">
      <c r="B19" s="155" t="s">
        <v>186</v>
      </c>
      <c r="C19" s="155"/>
      <c r="D19" s="155"/>
      <c r="E19" s="155"/>
      <c r="F19" s="163">
        <f>5.68/5.97</f>
        <v>0.9514237855946398</v>
      </c>
      <c r="Q19" s="276"/>
      <c r="R19" s="274"/>
      <c r="S19" s="273"/>
      <c r="T19" s="275"/>
      <c r="U19" s="279"/>
    </row>
    <row r="20" spans="2:21" ht="11.25" customHeight="1" x14ac:dyDescent="0.25">
      <c r="B20" s="155" t="s">
        <v>187</v>
      </c>
      <c r="C20" s="155"/>
      <c r="D20" s="155"/>
      <c r="E20" s="155"/>
      <c r="F20" s="155">
        <v>0.56999999999999995</v>
      </c>
      <c r="Q20" s="276"/>
      <c r="R20" s="274"/>
      <c r="S20" s="273"/>
      <c r="T20" s="275"/>
      <c r="U20" s="279"/>
    </row>
    <row r="21" spans="2:21" ht="11.25" customHeight="1" x14ac:dyDescent="0.25">
      <c r="B21" s="155" t="s">
        <v>188</v>
      </c>
      <c r="C21" s="155"/>
      <c r="D21" s="155"/>
      <c r="E21" s="155"/>
      <c r="F21" s="151" t="s">
        <v>189</v>
      </c>
      <c r="Q21" s="276"/>
      <c r="R21" s="274"/>
      <c r="S21" s="273"/>
      <c r="T21" s="275"/>
      <c r="U21" s="279"/>
    </row>
    <row r="22" spans="2:21" ht="11.25" customHeight="1" x14ac:dyDescent="0.25">
      <c r="B22" s="155" t="s">
        <v>190</v>
      </c>
      <c r="C22" s="155"/>
      <c r="D22" s="155"/>
      <c r="E22" s="155"/>
      <c r="F22" s="151" t="s">
        <v>191</v>
      </c>
      <c r="Q22" s="276"/>
      <c r="R22" s="274"/>
      <c r="S22" s="273"/>
      <c r="T22" s="275"/>
      <c r="U22" s="279"/>
    </row>
    <row r="23" spans="2:21" ht="11.25" customHeight="1" x14ac:dyDescent="0.25">
      <c r="B23" s="155" t="s">
        <v>192</v>
      </c>
      <c r="C23" s="155"/>
      <c r="D23" s="155"/>
      <c r="E23" s="155"/>
      <c r="F23" s="151" t="s">
        <v>193</v>
      </c>
      <c r="H23" t="s">
        <v>194</v>
      </c>
      <c r="I23">
        <v>14388454</v>
      </c>
      <c r="J23">
        <f>+$I$28-I23</f>
        <v>267562181</v>
      </c>
      <c r="Q23" s="276"/>
      <c r="R23" s="274"/>
      <c r="S23" s="273"/>
      <c r="T23" s="275"/>
      <c r="U23" s="279"/>
    </row>
    <row r="24" spans="2:21" ht="11.25" customHeight="1" x14ac:dyDescent="0.25">
      <c r="B24" s="155" t="s">
        <v>195</v>
      </c>
      <c r="C24" s="155"/>
      <c r="D24" s="155"/>
      <c r="E24" s="155"/>
      <c r="F24" s="151" t="s">
        <v>196</v>
      </c>
      <c r="H24" t="s">
        <v>197</v>
      </c>
      <c r="I24">
        <v>30975373</v>
      </c>
      <c r="J24">
        <f>+$I$28-I24</f>
        <v>250975262</v>
      </c>
      <c r="Q24" s="276"/>
      <c r="R24" s="274"/>
      <c r="S24" s="273"/>
      <c r="T24" s="275"/>
      <c r="U24" s="279"/>
    </row>
    <row r="25" spans="2:21" ht="11.25" customHeight="1" x14ac:dyDescent="0.25">
      <c r="B25" s="155" t="s">
        <v>198</v>
      </c>
      <c r="C25" s="155"/>
      <c r="D25" s="155"/>
      <c r="E25" s="155"/>
      <c r="F25" s="163">
        <v>9.98E-2</v>
      </c>
      <c r="H25" t="s">
        <v>199</v>
      </c>
      <c r="I25">
        <v>66594471</v>
      </c>
      <c r="J25">
        <f>+$I$28-I25</f>
        <v>215356164</v>
      </c>
      <c r="Q25" s="276"/>
      <c r="R25" s="274"/>
      <c r="S25" s="273"/>
      <c r="T25" s="275"/>
      <c r="U25" s="279"/>
    </row>
    <row r="26" spans="2:21" ht="11.25" customHeight="1" x14ac:dyDescent="0.25">
      <c r="B26" s="155" t="s">
        <v>200</v>
      </c>
      <c r="C26" s="155"/>
      <c r="D26" s="155"/>
      <c r="E26" s="155"/>
      <c r="F26" s="163">
        <v>0.49969999999999998</v>
      </c>
      <c r="H26" t="s">
        <v>201</v>
      </c>
      <c r="I26">
        <v>169992337</v>
      </c>
      <c r="J26">
        <f>+$I$28-I26</f>
        <v>111958298</v>
      </c>
      <c r="Q26" s="276"/>
      <c r="R26" s="274"/>
      <c r="S26" s="273"/>
      <c r="T26" s="275"/>
      <c r="U26" s="279"/>
    </row>
    <row r="27" spans="2:21" ht="11.25" customHeight="1" x14ac:dyDescent="0.25">
      <c r="B27" s="155" t="s">
        <v>202</v>
      </c>
      <c r="C27" s="155"/>
      <c r="D27" s="155"/>
      <c r="E27" s="155"/>
      <c r="F27" s="164">
        <v>3.15E-2</v>
      </c>
      <c r="Q27" s="276"/>
      <c r="R27" s="274"/>
      <c r="S27" s="273"/>
      <c r="T27" s="275"/>
      <c r="U27" s="279"/>
    </row>
    <row r="28" spans="2:21" ht="11.25" customHeight="1" x14ac:dyDescent="0.25">
      <c r="B28" s="155"/>
      <c r="C28" s="155"/>
      <c r="D28" s="155"/>
      <c r="E28" s="155"/>
      <c r="F28" s="164"/>
      <c r="H28" t="s">
        <v>160</v>
      </c>
      <c r="I28">
        <f>+SUM(I23:I26)</f>
        <v>281950635</v>
      </c>
      <c r="Q28" s="276"/>
      <c r="R28" s="274"/>
      <c r="S28" s="273"/>
      <c r="T28" s="275"/>
      <c r="U28" s="279"/>
    </row>
    <row r="29" spans="2:21" ht="11.25" customHeight="1" x14ac:dyDescent="0.25">
      <c r="B29" s="153" t="s">
        <v>203</v>
      </c>
      <c r="C29" s="154" t="s">
        <v>162</v>
      </c>
      <c r="D29" s="154" t="s">
        <v>162</v>
      </c>
      <c r="E29" s="314" t="s">
        <v>162</v>
      </c>
      <c r="F29" s="314"/>
      <c r="Q29" s="276"/>
      <c r="R29" s="274"/>
      <c r="S29" s="273"/>
      <c r="T29" s="275"/>
      <c r="U29" s="279"/>
    </row>
    <row r="30" spans="2:21" ht="3.75" customHeight="1" x14ac:dyDescent="0.25">
      <c r="Q30" s="276"/>
      <c r="R30" s="274"/>
      <c r="S30" s="273"/>
      <c r="T30" s="275"/>
      <c r="U30" s="279"/>
    </row>
    <row r="31" spans="2:21" ht="11.25" customHeight="1" x14ac:dyDescent="0.25">
      <c r="B31" s="276" t="s">
        <v>204</v>
      </c>
      <c r="C31" s="274"/>
      <c r="D31" s="273"/>
      <c r="E31" s="275">
        <v>8.6050000000000001E-2</v>
      </c>
      <c r="F31" s="278" t="s">
        <v>205</v>
      </c>
      <c r="H31" t="s">
        <v>206</v>
      </c>
      <c r="I31">
        <v>4</v>
      </c>
      <c r="Q31" s="276"/>
      <c r="R31" s="274"/>
      <c r="S31" s="273"/>
      <c r="T31" s="275"/>
      <c r="U31" s="279"/>
    </row>
    <row r="32" spans="2:21" ht="11.25" customHeight="1" x14ac:dyDescent="0.25">
      <c r="B32" s="276" t="s">
        <v>207</v>
      </c>
      <c r="C32" s="274"/>
      <c r="D32" s="273"/>
      <c r="E32" s="275">
        <v>7.3539999999999994E-2</v>
      </c>
      <c r="F32" s="278" t="s">
        <v>208</v>
      </c>
      <c r="H32" t="s">
        <v>209</v>
      </c>
      <c r="I32">
        <v>3</v>
      </c>
      <c r="Q32" s="276"/>
      <c r="R32" s="274"/>
      <c r="S32" s="273"/>
      <c r="T32" s="275"/>
      <c r="U32" s="279"/>
    </row>
    <row r="33" spans="2:21" ht="11.25" customHeight="1" x14ac:dyDescent="0.25">
      <c r="B33" s="276" t="s">
        <v>210</v>
      </c>
      <c r="C33" s="274"/>
      <c r="D33" s="273"/>
      <c r="E33" s="275">
        <v>5.006E-2</v>
      </c>
      <c r="F33" s="278" t="s">
        <v>211</v>
      </c>
      <c r="H33" t="s">
        <v>212</v>
      </c>
      <c r="I33">
        <v>1</v>
      </c>
      <c r="Q33" s="276"/>
      <c r="R33" s="274"/>
      <c r="S33" s="273"/>
      <c r="T33" s="275"/>
      <c r="U33" s="279"/>
    </row>
    <row r="34" spans="2:21" ht="11.25" customHeight="1" x14ac:dyDescent="0.25">
      <c r="B34" s="277" t="s">
        <v>213</v>
      </c>
      <c r="C34" s="274"/>
      <c r="D34" s="273"/>
      <c r="E34" s="275">
        <v>1.6410000000000001E-2</v>
      </c>
      <c r="F34" s="278" t="s">
        <v>214</v>
      </c>
      <c r="H34" t="s">
        <v>215</v>
      </c>
      <c r="I34">
        <v>3</v>
      </c>
      <c r="Q34" s="276"/>
      <c r="R34" s="274"/>
      <c r="S34" s="273"/>
      <c r="T34" s="275"/>
      <c r="U34" s="279"/>
    </row>
    <row r="35" spans="2:21" ht="11.25" customHeight="1" x14ac:dyDescent="0.25">
      <c r="B35" s="277" t="s">
        <v>216</v>
      </c>
      <c r="C35" s="274"/>
      <c r="D35" s="273"/>
      <c r="E35" s="275">
        <v>1.6320000000000001E-2</v>
      </c>
      <c r="F35" s="278" t="s">
        <v>217</v>
      </c>
      <c r="H35" t="s">
        <v>218</v>
      </c>
      <c r="I35">
        <v>5</v>
      </c>
      <c r="Q35" s="276"/>
      <c r="R35" s="274"/>
      <c r="S35" s="273"/>
      <c r="T35" s="275"/>
      <c r="U35" s="279"/>
    </row>
    <row r="36" spans="2:21" ht="11.25" customHeight="1" x14ac:dyDescent="0.25">
      <c r="B36" s="276" t="s">
        <v>219</v>
      </c>
      <c r="C36" s="274"/>
      <c r="D36" s="273"/>
      <c r="E36" s="275">
        <v>1.4880000000000001E-2</v>
      </c>
      <c r="F36" s="278" t="s">
        <v>220</v>
      </c>
      <c r="Q36" s="276"/>
      <c r="R36" s="274"/>
      <c r="S36" s="273"/>
      <c r="T36" s="275"/>
      <c r="U36" s="279"/>
    </row>
    <row r="37" spans="2:21" ht="11.25" customHeight="1" x14ac:dyDescent="0.25">
      <c r="B37" s="277" t="s">
        <v>221</v>
      </c>
      <c r="C37" s="274"/>
      <c r="D37" s="273"/>
      <c r="E37" s="275">
        <v>7.9979999999999999E-3</v>
      </c>
      <c r="F37" s="278" t="s">
        <v>222</v>
      </c>
      <c r="Q37" s="276"/>
      <c r="R37" s="274"/>
      <c r="S37" s="273"/>
      <c r="T37" s="275"/>
      <c r="U37" s="279"/>
    </row>
    <row r="38" spans="2:21" ht="11.25" customHeight="1" x14ac:dyDescent="0.25">
      <c r="B38" s="277" t="s">
        <v>223</v>
      </c>
      <c r="C38" s="274"/>
      <c r="D38" s="273"/>
      <c r="E38" s="275">
        <v>7.9220000000000002E-3</v>
      </c>
      <c r="F38" s="278" t="s">
        <v>224</v>
      </c>
      <c r="Q38" s="276"/>
      <c r="R38" s="274"/>
      <c r="S38" s="273"/>
      <c r="T38" s="275"/>
      <c r="U38" s="279"/>
    </row>
    <row r="39" spans="2:21" ht="11.25" customHeight="1" x14ac:dyDescent="0.25">
      <c r="B39" s="276" t="s">
        <v>225</v>
      </c>
      <c r="C39" s="274"/>
      <c r="D39" s="273"/>
      <c r="E39" s="275">
        <v>2.408E-3</v>
      </c>
      <c r="F39" s="278" t="s">
        <v>226</v>
      </c>
      <c r="Q39" s="276"/>
      <c r="R39" s="274"/>
      <c r="S39" s="273"/>
      <c r="T39" s="275"/>
      <c r="U39" s="279"/>
    </row>
    <row r="40" spans="2:21" ht="11.25" customHeight="1" x14ac:dyDescent="0.25">
      <c r="B40" s="276" t="s">
        <v>227</v>
      </c>
      <c r="C40" s="274"/>
      <c r="D40" s="273"/>
      <c r="E40" s="275">
        <v>2.1459999999999999E-3</v>
      </c>
      <c r="F40" s="278" t="s">
        <v>228</v>
      </c>
    </row>
    <row r="41" spans="2:21" x14ac:dyDescent="0.25">
      <c r="B41" s="153" t="s">
        <v>229</v>
      </c>
      <c r="C41" s="154"/>
      <c r="D41" s="154"/>
      <c r="E41" s="314" t="s">
        <v>162</v>
      </c>
      <c r="F41" s="314"/>
    </row>
    <row r="44" spans="2:21" x14ac:dyDescent="0.25">
      <c r="H44" t="s">
        <v>230</v>
      </c>
      <c r="K44">
        <v>92136669</v>
      </c>
      <c r="L44" s="167">
        <f>+K44/$K$50</f>
        <v>0.35582865669238839</v>
      </c>
    </row>
    <row r="45" spans="2:21" x14ac:dyDescent="0.25">
      <c r="H45" t="s">
        <v>148</v>
      </c>
      <c r="K45">
        <v>4818965</v>
      </c>
      <c r="L45" s="167">
        <f t="shared" ref="L45:L49" si="8">+K45/$K$50</f>
        <v>1.8610677607605236E-2</v>
      </c>
    </row>
    <row r="46" spans="2:21" x14ac:dyDescent="0.25">
      <c r="H46" t="s">
        <v>231</v>
      </c>
      <c r="K46">
        <v>44814355</v>
      </c>
      <c r="L46" s="167">
        <f t="shared" si="8"/>
        <v>0.17307150251096901</v>
      </c>
    </row>
    <row r="47" spans="2:21" x14ac:dyDescent="0.25">
      <c r="H47" t="s">
        <v>164</v>
      </c>
      <c r="K47">
        <v>45599419</v>
      </c>
      <c r="L47" s="167">
        <f t="shared" si="8"/>
        <v>0.17610339276236883</v>
      </c>
    </row>
    <row r="48" spans="2:21" x14ac:dyDescent="0.25">
      <c r="H48" t="s">
        <v>154</v>
      </c>
      <c r="K48">
        <v>28276086</v>
      </c>
      <c r="L48" s="167">
        <f t="shared" si="8"/>
        <v>0.10920127466186617</v>
      </c>
    </row>
    <row r="49" spans="2:30" x14ac:dyDescent="0.25">
      <c r="H49" t="s">
        <v>174</v>
      </c>
      <c r="K49">
        <f>+K50-SUM(K44:K48)</f>
        <v>43290000</v>
      </c>
      <c r="L49" s="167">
        <f t="shared" si="8"/>
        <v>0.16718449576480232</v>
      </c>
    </row>
    <row r="50" spans="2:30" x14ac:dyDescent="0.25">
      <c r="K50">
        <v>258935494</v>
      </c>
    </row>
    <row r="52" spans="2:30" x14ac:dyDescent="0.25">
      <c r="B52" t="s">
        <v>201</v>
      </c>
      <c r="C52" t="s">
        <v>232</v>
      </c>
    </row>
    <row r="53" spans="2:30" x14ac:dyDescent="0.25">
      <c r="B53" t="s">
        <v>199</v>
      </c>
      <c r="C53" t="s">
        <v>233</v>
      </c>
    </row>
    <row r="54" spans="2:30" x14ac:dyDescent="0.25">
      <c r="B54" t="s">
        <v>197</v>
      </c>
      <c r="C54" t="s">
        <v>234</v>
      </c>
    </row>
    <row r="55" spans="2:30" x14ac:dyDescent="0.25">
      <c r="B55" t="s">
        <v>194</v>
      </c>
      <c r="C55" t="s">
        <v>235</v>
      </c>
    </row>
    <row r="57" spans="2:30" x14ac:dyDescent="0.25">
      <c r="B57" s="170" t="s">
        <v>236</v>
      </c>
      <c r="C57" s="171"/>
      <c r="D57" s="171"/>
      <c r="E57" s="171"/>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171"/>
      <c r="AD57" s="171"/>
    </row>
    <row r="58" spans="2:30" x14ac:dyDescent="0.25">
      <c r="B58" s="168" t="s">
        <v>237</v>
      </c>
      <c r="C58" t="s">
        <v>238</v>
      </c>
    </row>
    <row r="59" spans="2:30" x14ac:dyDescent="0.25">
      <c r="B59" s="168" t="s">
        <v>239</v>
      </c>
    </row>
    <row r="60" spans="2:30" x14ac:dyDescent="0.25">
      <c r="B60" s="169" t="s">
        <v>240</v>
      </c>
    </row>
    <row r="61" spans="2:30" x14ac:dyDescent="0.25">
      <c r="B61" s="168" t="s">
        <v>241</v>
      </c>
    </row>
    <row r="62" spans="2:30" x14ac:dyDescent="0.25">
      <c r="B62" s="169" t="s">
        <v>242</v>
      </c>
    </row>
    <row r="63" spans="2:30" x14ac:dyDescent="0.25">
      <c r="B63" s="168" t="s">
        <v>243</v>
      </c>
    </row>
    <row r="64" spans="2:30" x14ac:dyDescent="0.25">
      <c r="B64" s="168" t="s">
        <v>244</v>
      </c>
    </row>
    <row r="65" spans="2:30" x14ac:dyDescent="0.25">
      <c r="B65" s="168" t="s">
        <v>245</v>
      </c>
    </row>
    <row r="66" spans="2:30" x14ac:dyDescent="0.25">
      <c r="B66" s="168" t="s">
        <v>246</v>
      </c>
    </row>
    <row r="67" spans="2:30" x14ac:dyDescent="0.25">
      <c r="B67" s="169" t="s">
        <v>247</v>
      </c>
    </row>
    <row r="68" spans="2:30" x14ac:dyDescent="0.25">
      <c r="B68" s="168" t="s">
        <v>248</v>
      </c>
    </row>
    <row r="69" spans="2:30" x14ac:dyDescent="0.25">
      <c r="B69" s="168" t="s">
        <v>249</v>
      </c>
    </row>
    <row r="70" spans="2:30" x14ac:dyDescent="0.25">
      <c r="B70" s="169" t="s">
        <v>247</v>
      </c>
    </row>
    <row r="71" spans="2:30" x14ac:dyDescent="0.25">
      <c r="B71" s="168" t="s">
        <v>250</v>
      </c>
    </row>
    <row r="72" spans="2:30" x14ac:dyDescent="0.25">
      <c r="B72" s="169" t="s">
        <v>247</v>
      </c>
    </row>
    <row r="73" spans="2:30" x14ac:dyDescent="0.25">
      <c r="B73" s="168" t="s">
        <v>251</v>
      </c>
    </row>
    <row r="74" spans="2:30" x14ac:dyDescent="0.25">
      <c r="B74" s="168" t="s">
        <v>252</v>
      </c>
    </row>
    <row r="75" spans="2:30" x14ac:dyDescent="0.25">
      <c r="B75" s="168"/>
    </row>
    <row r="76" spans="2:30" x14ac:dyDescent="0.25">
      <c r="B76" s="170" t="s">
        <v>253</v>
      </c>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Z76" s="171"/>
      <c r="AA76" s="171"/>
      <c r="AB76" s="171"/>
      <c r="AC76" s="171"/>
      <c r="AD76" s="171"/>
    </row>
    <row r="77" spans="2:30" x14ac:dyDescent="0.25">
      <c r="B77" s="168" t="s">
        <v>254</v>
      </c>
    </row>
    <row r="78" spans="2:30" x14ac:dyDescent="0.25">
      <c r="B78" s="169" t="s">
        <v>255</v>
      </c>
    </row>
    <row r="79" spans="2:30" x14ac:dyDescent="0.25">
      <c r="B79" s="168" t="s">
        <v>256</v>
      </c>
    </row>
    <row r="80" spans="2:30" x14ac:dyDescent="0.25">
      <c r="B80" s="169" t="s">
        <v>257</v>
      </c>
    </row>
    <row r="81" spans="2:2" x14ac:dyDescent="0.25">
      <c r="B81" s="168" t="s">
        <v>258</v>
      </c>
    </row>
    <row r="82" spans="2:2" x14ac:dyDescent="0.25">
      <c r="B82" s="169" t="s">
        <v>255</v>
      </c>
    </row>
    <row r="83" spans="2:2" x14ac:dyDescent="0.25">
      <c r="B83" s="168" t="s">
        <v>259</v>
      </c>
    </row>
    <row r="84" spans="2:2" x14ac:dyDescent="0.25">
      <c r="B84" s="169" t="s">
        <v>260</v>
      </c>
    </row>
    <row r="85" spans="2:2" x14ac:dyDescent="0.25">
      <c r="B85" s="168" t="s">
        <v>261</v>
      </c>
    </row>
    <row r="86" spans="2:2" x14ac:dyDescent="0.25">
      <c r="B86" s="169" t="s">
        <v>255</v>
      </c>
    </row>
    <row r="87" spans="2:2" x14ac:dyDescent="0.25">
      <c r="B87" s="168" t="s">
        <v>262</v>
      </c>
    </row>
    <row r="88" spans="2:2" x14ac:dyDescent="0.25">
      <c r="B88" s="169" t="s">
        <v>260</v>
      </c>
    </row>
    <row r="89" spans="2:2" x14ac:dyDescent="0.25">
      <c r="B89" s="168" t="s">
        <v>263</v>
      </c>
    </row>
    <row r="90" spans="2:2" x14ac:dyDescent="0.25">
      <c r="B90" s="169" t="s">
        <v>255</v>
      </c>
    </row>
    <row r="91" spans="2:2" x14ac:dyDescent="0.25">
      <c r="B91" s="168" t="s">
        <v>264</v>
      </c>
    </row>
    <row r="92" spans="2:2" x14ac:dyDescent="0.25">
      <c r="B92" s="169" t="s">
        <v>265</v>
      </c>
    </row>
    <row r="93" spans="2:2" x14ac:dyDescent="0.25">
      <c r="B93" s="168" t="s">
        <v>266</v>
      </c>
    </row>
    <row r="94" spans="2:2" x14ac:dyDescent="0.25">
      <c r="B94" s="169" t="s">
        <v>255</v>
      </c>
    </row>
    <row r="95" spans="2:2" x14ac:dyDescent="0.25">
      <c r="B95" s="168" t="s">
        <v>267</v>
      </c>
    </row>
    <row r="96" spans="2:2" x14ac:dyDescent="0.25">
      <c r="B96" s="169" t="s">
        <v>247</v>
      </c>
    </row>
  </sheetData>
  <mergeCells count="6">
    <mergeCell ref="E29:F29"/>
    <mergeCell ref="E41:F41"/>
    <mergeCell ref="E2:F2"/>
    <mergeCell ref="E3:F3"/>
    <mergeCell ref="E11:F11"/>
    <mergeCell ref="E17:F17"/>
  </mergeCells>
  <hyperlinks>
    <hyperlink ref="B60" r:id="rId1" xr:uid="{C32AF74F-2FD0-4384-8653-D37FFB8CE053}"/>
    <hyperlink ref="B62" r:id="rId2" xr:uid="{ED6439EB-D314-43F7-B256-39FDA3762AC9}"/>
    <hyperlink ref="B67" r:id="rId3" xr:uid="{4320FC39-DA59-4CC9-BEB0-8F2B4339F194}"/>
    <hyperlink ref="B70" r:id="rId4" xr:uid="{E0B8C33D-CB5D-49B0-BD68-B648DFA438B5}"/>
    <hyperlink ref="B72" r:id="rId5" xr:uid="{B5F61855-7C43-4944-8D9F-591C1053DC52}"/>
    <hyperlink ref="B92" r:id="rId6" xr:uid="{B9DFB45A-11B5-4EBF-A50D-B62869709700}"/>
    <hyperlink ref="B94" r:id="rId7" xr:uid="{E2A9E617-7A8D-4623-88F6-C1EAC679004B}"/>
    <hyperlink ref="B96" r:id="rId8" xr:uid="{75C45D87-22DA-4988-B705-84CC7367C579}"/>
    <hyperlink ref="B78" r:id="rId9" xr:uid="{F41F5811-1E8F-4F9C-9039-CCD4EC45A166}"/>
    <hyperlink ref="B80" r:id="rId10" xr:uid="{3E1342E4-8AA2-4EE4-B864-2509CFC3BFA1}"/>
    <hyperlink ref="B82" r:id="rId11" xr:uid="{27B30292-832B-4A53-8E31-11CA80B37DA6}"/>
    <hyperlink ref="B84" r:id="rId12" xr:uid="{9045BAEA-172D-4637-86C7-A15125207E28}"/>
    <hyperlink ref="B86" r:id="rId13" xr:uid="{2E02206A-83A9-4C90-9D2D-18FA13D63989}"/>
    <hyperlink ref="B88" r:id="rId14" xr:uid="{2A963168-90A2-4DB6-9FA0-556F206E79A2}"/>
    <hyperlink ref="B90" r:id="rId15" xr:uid="{DBF90E64-7064-49D3-B69D-25938FE3C1EA}"/>
    <hyperlink ref="B34" r:id="rId16" xr:uid="{52DFEFFD-7D8C-4CBC-8D19-DBB5FCDAF979}"/>
    <hyperlink ref="B35" r:id="rId17" xr:uid="{D86F5279-BA52-4187-981C-F24C12711F01}"/>
    <hyperlink ref="B37" r:id="rId18" xr:uid="{1466B830-ABD0-4E1F-A835-EBC4A10D7240}"/>
    <hyperlink ref="B38" r:id="rId19" xr:uid="{E7CDAD7C-4DDD-4825-993B-E272693064A7}"/>
  </hyperlinks>
  <pageMargins left="0.7" right="0.7" top="0.75" bottom="0.75" header="0.3" footer="0.3"/>
  <pageSetup paperSize="9" orientation="portrait" r:id="rId20"/>
  <ignoredErrors>
    <ignoredError sqref="F9" numberStoredAsText="1"/>
  </ignoredErrors>
  <drawing r:id="rId2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59C1F-E15C-4A3B-9F39-0563FB6B6A38}">
  <sheetPr codeName="Sheet6"/>
  <dimension ref="A1:EG181"/>
  <sheetViews>
    <sheetView showGridLines="0" workbookViewId="0">
      <selection activeCell="O15" sqref="O15"/>
    </sheetView>
  </sheetViews>
  <sheetFormatPr defaultRowHeight="15" x14ac:dyDescent="0.25"/>
  <cols>
    <col min="1" max="2" width="9.140625" style="176"/>
    <col min="3" max="3" width="53.5703125" style="176" bestFit="1" customWidth="1"/>
    <col min="4" max="4" width="16" style="176" customWidth="1"/>
    <col min="5" max="8" width="16.140625" style="176" bestFit="1" customWidth="1"/>
    <col min="9" max="9" width="9.140625" style="176"/>
    <col min="10" max="10" width="25.7109375" style="176" customWidth="1"/>
    <col min="11" max="15" width="11" style="181" customWidth="1"/>
    <col min="16" max="16" width="9.140625" style="176"/>
    <col min="17" max="17" width="10.140625" style="176" bestFit="1" customWidth="1"/>
    <col min="18" max="18" width="9.42578125" style="176" bestFit="1" customWidth="1"/>
    <col min="19" max="16384" width="9.140625" style="176"/>
  </cols>
  <sheetData>
    <row r="1" spans="3:18" x14ac:dyDescent="0.25">
      <c r="C1" s="174" t="s">
        <v>21</v>
      </c>
      <c r="D1" s="174" t="s">
        <v>268</v>
      </c>
      <c r="E1" s="175">
        <v>45291</v>
      </c>
      <c r="F1" s="175">
        <v>44926</v>
      </c>
      <c r="G1" s="175">
        <v>44561</v>
      </c>
      <c r="H1" s="175">
        <v>44196</v>
      </c>
      <c r="I1" s="282"/>
      <c r="J1" s="174" t="s">
        <v>185</v>
      </c>
      <c r="K1" s="177" t="s">
        <v>268</v>
      </c>
      <c r="L1" s="178">
        <v>2023</v>
      </c>
      <c r="M1" s="178">
        <v>2022</v>
      </c>
      <c r="N1" s="178">
        <v>2021</v>
      </c>
      <c r="O1" s="178">
        <v>2019</v>
      </c>
      <c r="P1" s="282"/>
      <c r="Q1" s="282"/>
      <c r="R1" s="282"/>
    </row>
    <row r="2" spans="3:18" x14ac:dyDescent="0.25">
      <c r="C2" s="179" t="s">
        <v>269</v>
      </c>
      <c r="D2" s="180">
        <v>292862572000</v>
      </c>
      <c r="E2" s="180">
        <v>258935494000</v>
      </c>
      <c r="F2" s="180">
        <v>302231360000</v>
      </c>
      <c r="G2" s="180">
        <v>279604799000</v>
      </c>
      <c r="H2" s="180">
        <v>236806988000</v>
      </c>
      <c r="I2" s="282"/>
      <c r="J2" s="282" t="s">
        <v>270</v>
      </c>
      <c r="K2" s="302">
        <f>+D66/D2*1000</f>
        <v>0.79785017731798102</v>
      </c>
      <c r="L2" s="302">
        <f>+E66/E2*1000</f>
        <v>1.8155598899855732</v>
      </c>
      <c r="M2" s="302">
        <f>+F66/F2*1000</f>
        <v>1.1391288481777668</v>
      </c>
      <c r="N2" s="302">
        <f>+G66/G2*1000</f>
        <v>1.5099475599487118</v>
      </c>
      <c r="O2" s="302">
        <f>+H66/H2*1000</f>
        <v>2.0298415222442676</v>
      </c>
      <c r="P2" s="282"/>
      <c r="Q2" s="282"/>
      <c r="R2" s="282"/>
    </row>
    <row r="3" spans="3:18" x14ac:dyDescent="0.25">
      <c r="C3" s="179" t="s">
        <v>271</v>
      </c>
      <c r="D3" s="180">
        <v>185409012000</v>
      </c>
      <c r="E3" s="180">
        <v>180388580000</v>
      </c>
      <c r="F3" s="180">
        <v>190041770000</v>
      </c>
      <c r="G3" s="180">
        <v>166411342000</v>
      </c>
      <c r="H3" s="180">
        <v>144488296000</v>
      </c>
      <c r="I3" s="282"/>
      <c r="J3" s="282" t="s">
        <v>272</v>
      </c>
      <c r="K3" s="302">
        <f>+D61/D2*1000</f>
        <v>1.0190077925013921</v>
      </c>
      <c r="L3" s="302">
        <f>+E61/E2*1000</f>
        <v>1.621728510499221</v>
      </c>
      <c r="M3" s="302">
        <f>+F61/F2*1000</f>
        <v>1.0592681149964054</v>
      </c>
      <c r="N3" s="302">
        <f>+G61/G2*1000</f>
        <v>1.4299375204929869</v>
      </c>
      <c r="O3" s="302">
        <f>+H61/H2*1000</f>
        <v>1.9314102082156461</v>
      </c>
      <c r="P3" s="282"/>
      <c r="Q3" s="282"/>
      <c r="R3" s="282"/>
    </row>
    <row r="4" spans="3:18" x14ac:dyDescent="0.25">
      <c r="C4" s="179" t="s">
        <v>273</v>
      </c>
      <c r="D4" s="180">
        <v>107453560000</v>
      </c>
      <c r="E4" s="180">
        <v>78546914000</v>
      </c>
      <c r="F4" s="180">
        <v>112189590000</v>
      </c>
      <c r="G4" s="180">
        <v>113193457000</v>
      </c>
      <c r="H4" s="180">
        <v>92318692000</v>
      </c>
      <c r="I4" s="282"/>
      <c r="J4" s="282" t="s">
        <v>274</v>
      </c>
      <c r="K4" s="302">
        <f>+D66/D22*1000</f>
        <v>3.1210372931440258</v>
      </c>
      <c r="L4" s="302">
        <f>+E66/E22*1000</f>
        <v>9.2902037755530156</v>
      </c>
      <c r="M4" s="302">
        <f>+F66/F22*1000</f>
        <v>3.9888295889657273</v>
      </c>
      <c r="N4" s="302">
        <f>+G66/G22*1000</f>
        <v>4.7959228963777285</v>
      </c>
      <c r="O4" s="302">
        <f>+H66/H22*1000</f>
        <v>7.1462070667310149</v>
      </c>
      <c r="P4" s="282"/>
      <c r="Q4" s="282"/>
      <c r="R4" s="282"/>
    </row>
    <row r="5" spans="3:18" x14ac:dyDescent="0.25">
      <c r="C5" s="179" t="s">
        <v>275</v>
      </c>
      <c r="D5" s="180">
        <v>78395585000</v>
      </c>
      <c r="E5" s="180">
        <v>71979938000</v>
      </c>
      <c r="F5" s="180">
        <v>68812960000</v>
      </c>
      <c r="G5" s="180">
        <v>61559601000</v>
      </c>
      <c r="H5" s="180">
        <v>56324816000</v>
      </c>
      <c r="I5" s="282"/>
      <c r="J5" s="282" t="s">
        <v>276</v>
      </c>
      <c r="K5" s="302">
        <f>+D66/D21*1000</f>
        <v>6.892303934378174</v>
      </c>
      <c r="L5" s="302">
        <f>+E66/E21*1000</f>
        <v>39.384424921907708</v>
      </c>
      <c r="M5" s="302">
        <f>+F66/F21*1000</f>
        <v>7.2935384289072358</v>
      </c>
      <c r="N5" s="302">
        <f>+G66/G21*1000</f>
        <v>7.849798321477345</v>
      </c>
      <c r="O5" s="302">
        <f>+H66/H21*1000</f>
        <v>13.016653077206996</v>
      </c>
      <c r="P5" s="282"/>
      <c r="Q5" s="282"/>
      <c r="R5" s="282"/>
    </row>
    <row r="6" spans="3:18" x14ac:dyDescent="0.25">
      <c r="C6" s="179" t="s">
        <v>277</v>
      </c>
      <c r="D6" s="180">
        <v>29057975000</v>
      </c>
      <c r="E6" s="180">
        <v>6566976000</v>
      </c>
      <c r="F6" s="180">
        <v>43376630000</v>
      </c>
      <c r="G6" s="180">
        <v>51633856000</v>
      </c>
      <c r="H6" s="180">
        <v>35993876000</v>
      </c>
      <c r="I6" s="282"/>
      <c r="J6" s="282" t="s">
        <v>278</v>
      </c>
      <c r="K6" s="302">
        <f>+D61/D10*1000</f>
        <v>9.3058315684181174</v>
      </c>
      <c r="L6" s="302">
        <f>+E61/E10*1000</f>
        <v>29.013434575605277</v>
      </c>
      <c r="M6" s="302">
        <f>+F61/F10*1000</f>
        <v>5.8495146667044766</v>
      </c>
      <c r="N6" s="302">
        <f>+G61/G10*1000</f>
        <v>10.188042052308351</v>
      </c>
      <c r="O6" s="302">
        <f>+H61/H10*1000</f>
        <v>17.529957978365285</v>
      </c>
      <c r="P6" s="282"/>
      <c r="Q6" s="282"/>
      <c r="R6" s="282"/>
    </row>
    <row r="7" spans="3:18" x14ac:dyDescent="0.25">
      <c r="C7" s="179" t="s">
        <v>279</v>
      </c>
      <c r="D7" s="180">
        <v>3826766000</v>
      </c>
      <c r="E7" s="180">
        <v>3427769000</v>
      </c>
      <c r="F7" s="180">
        <v>1957464000</v>
      </c>
      <c r="G7" s="180">
        <v>846738000</v>
      </c>
      <c r="H7" s="180">
        <v>1391445000</v>
      </c>
      <c r="I7" s="282"/>
      <c r="J7" s="282" t="s">
        <v>280</v>
      </c>
      <c r="K7" s="302">
        <f>+D61/D30*1000</f>
        <v>0.77257324780361702</v>
      </c>
      <c r="L7" s="302">
        <f>+E61/E30*1000</f>
        <v>1.1891986914333701</v>
      </c>
      <c r="M7" s="302">
        <f>+F61/F30*1000</f>
        <v>0.92777444533002207</v>
      </c>
      <c r="N7" s="302">
        <f>+G61/G30*1000</f>
        <v>1.3501951332074353</v>
      </c>
      <c r="O7" s="302">
        <f>+H61/H30*1000</f>
        <v>1.7094747038454714</v>
      </c>
      <c r="P7" s="282"/>
      <c r="Q7" s="282"/>
      <c r="R7" s="282"/>
    </row>
    <row r="8" spans="3:18" x14ac:dyDescent="0.25">
      <c r="C8" s="179" t="s">
        <v>281</v>
      </c>
      <c r="D8" s="180">
        <v>33146768000</v>
      </c>
      <c r="E8" s="180">
        <v>11006265000</v>
      </c>
      <c r="F8" s="180">
        <v>46440474000</v>
      </c>
      <c r="G8" s="180">
        <v>53351827000</v>
      </c>
      <c r="H8" s="180">
        <v>36345117000</v>
      </c>
      <c r="I8" s="282"/>
      <c r="J8" s="282"/>
      <c r="K8" s="303"/>
      <c r="L8" s="303"/>
      <c r="M8" s="303"/>
      <c r="N8" s="303"/>
      <c r="O8" s="303"/>
      <c r="P8" s="282"/>
      <c r="Q8" s="282"/>
      <c r="R8" s="282"/>
    </row>
    <row r="9" spans="3:18" x14ac:dyDescent="0.25">
      <c r="C9" s="179" t="s">
        <v>282</v>
      </c>
      <c r="D9" s="180">
        <v>105053000</v>
      </c>
      <c r="E9" s="180">
        <v>-4480835000</v>
      </c>
      <c r="F9" s="180">
        <v>-9213603000</v>
      </c>
      <c r="G9" s="180">
        <v>13444377000</v>
      </c>
      <c r="H9" s="180">
        <v>9937285000</v>
      </c>
      <c r="I9" s="282"/>
      <c r="J9" s="174" t="s">
        <v>283</v>
      </c>
      <c r="K9" s="177" t="s">
        <v>268</v>
      </c>
      <c r="L9" s="178">
        <v>2023</v>
      </c>
      <c r="M9" s="178">
        <v>2022</v>
      </c>
      <c r="N9" s="178">
        <v>2021</v>
      </c>
      <c r="O9" s="178">
        <v>2019</v>
      </c>
      <c r="P9" s="282"/>
      <c r="Q9" s="282"/>
      <c r="R9" s="282"/>
    </row>
    <row r="10" spans="3:18" x14ac:dyDescent="0.25">
      <c r="C10" s="179" t="s">
        <v>284</v>
      </c>
      <c r="D10" s="180">
        <v>32069057000</v>
      </c>
      <c r="E10" s="180">
        <v>14473401000</v>
      </c>
      <c r="F10" s="180">
        <v>54730018000</v>
      </c>
      <c r="G10" s="180">
        <v>39243791000</v>
      </c>
      <c r="H10" s="180">
        <v>26090846000</v>
      </c>
      <c r="I10" s="282"/>
      <c r="J10" s="282" t="s">
        <v>285</v>
      </c>
      <c r="K10" s="304">
        <f>+D10/D25</f>
        <v>6.5272907384768306E-2</v>
      </c>
      <c r="L10" s="304">
        <f>+E10/E25</f>
        <v>3.1746460092495384E-2</v>
      </c>
      <c r="M10" s="304">
        <f>+F10/F25</f>
        <v>0.12204956942730162</v>
      </c>
      <c r="N10" s="304">
        <f>+G10/G25</f>
        <v>9.1987446623545105E-2</v>
      </c>
      <c r="O10" s="304">
        <f>+H10/H25</f>
        <v>6.8980386458372497E-2</v>
      </c>
      <c r="P10" s="282"/>
      <c r="Q10" s="282"/>
      <c r="R10" s="282"/>
    </row>
    <row r="11" spans="3:18" x14ac:dyDescent="0.25">
      <c r="C11" s="179" t="s">
        <v>286</v>
      </c>
      <c r="D11" s="182">
        <v>4720</v>
      </c>
      <c r="E11" s="182">
        <v>2130</v>
      </c>
      <c r="F11" s="182">
        <v>8060</v>
      </c>
      <c r="G11" s="182">
        <v>5780</v>
      </c>
      <c r="H11" s="182">
        <v>3840</v>
      </c>
      <c r="I11" s="282"/>
      <c r="J11" s="282" t="s">
        <v>287</v>
      </c>
      <c r="K11" s="304">
        <f>+D10/D27</f>
        <v>8.3017766765368123E-2</v>
      </c>
      <c r="L11" s="304">
        <f>+E10/E27</f>
        <v>3.9797310732672717E-2</v>
      </c>
      <c r="M11" s="304">
        <f>+F10/F27</f>
        <v>0.15427788328130171</v>
      </c>
      <c r="N11" s="304">
        <f>+G10/G27</f>
        <v>0.12871039646119173</v>
      </c>
      <c r="O11" s="304">
        <f>+H10/H27</f>
        <v>9.4549858985034346E-2</v>
      </c>
      <c r="P11" s="282"/>
      <c r="Q11" s="282"/>
      <c r="R11" s="282"/>
    </row>
    <row r="12" spans="3:18" x14ac:dyDescent="0.25">
      <c r="C12" s="179" t="s">
        <v>288</v>
      </c>
      <c r="D12" s="182">
        <v>4720</v>
      </c>
      <c r="E12" s="182">
        <v>2130</v>
      </c>
      <c r="F12" s="182">
        <v>8060</v>
      </c>
      <c r="G12" s="182">
        <v>5780</v>
      </c>
      <c r="H12" s="182">
        <v>3840</v>
      </c>
      <c r="I12" s="282"/>
      <c r="J12" s="282" t="s">
        <v>289</v>
      </c>
      <c r="K12" s="304">
        <f>+D21/(D36+D27)</f>
        <v>8.4076593175532316E-2</v>
      </c>
      <c r="L12" s="304">
        <f>+E21/(E36+E27)</f>
        <v>3.1715371442635178E-2</v>
      </c>
      <c r="M12" s="304">
        <f>+F21/(F36+F27)</f>
        <v>0.12929528055667672</v>
      </c>
      <c r="N12" s="304">
        <f>+G21/(G36+G27)</f>
        <v>0.16636153598318895</v>
      </c>
      <c r="O12" s="304">
        <f>+H21/(H36+H27)</f>
        <v>0.12468752384330706</v>
      </c>
      <c r="P12" s="282"/>
      <c r="Q12" s="282"/>
      <c r="R12" s="282"/>
    </row>
    <row r="13" spans="3:18" x14ac:dyDescent="0.25">
      <c r="C13" s="179" t="s">
        <v>290</v>
      </c>
      <c r="D13" s="183">
        <v>6792558.54</v>
      </c>
      <c r="E13" s="183">
        <v>6791835.29</v>
      </c>
      <c r="F13" s="183">
        <v>6792853.1699999999</v>
      </c>
      <c r="G13" s="183">
        <v>6793109.0499999998</v>
      </c>
      <c r="H13" s="183">
        <v>6792722.21</v>
      </c>
      <c r="I13" s="282"/>
      <c r="J13" s="282" t="s">
        <v>291</v>
      </c>
      <c r="K13" s="304">
        <f>+D10/D30</f>
        <v>8.3020334305808366E-2</v>
      </c>
      <c r="L13" s="304">
        <f>+E10/E30</f>
        <v>4.0987863340842028E-2</v>
      </c>
      <c r="M13" s="304">
        <f>+F10/F30</f>
        <v>0.15860708079098046</v>
      </c>
      <c r="N13" s="304">
        <f>+G10/G30</f>
        <v>0.13252744013767745</v>
      </c>
      <c r="O13" s="304">
        <f>+H10/H30</f>
        <v>9.7517330386942797E-2</v>
      </c>
      <c r="P13" s="282"/>
      <c r="Q13" s="282"/>
      <c r="R13" s="282"/>
    </row>
    <row r="14" spans="3:18" x14ac:dyDescent="0.25">
      <c r="C14" s="179" t="s">
        <v>292</v>
      </c>
      <c r="D14" s="183">
        <v>6792558.54</v>
      </c>
      <c r="E14" s="183">
        <v>6791835.29</v>
      </c>
      <c r="F14" s="183">
        <v>6792853.1699999999</v>
      </c>
      <c r="G14" s="183">
        <v>6793109.0499999998</v>
      </c>
      <c r="H14" s="183">
        <v>6792722.21</v>
      </c>
      <c r="I14" s="282"/>
      <c r="J14" s="282"/>
      <c r="K14" s="305"/>
      <c r="L14" s="305"/>
      <c r="M14" s="305"/>
      <c r="N14" s="305"/>
      <c r="O14" s="305"/>
      <c r="P14" s="282"/>
      <c r="Q14" s="306"/>
      <c r="R14" s="307"/>
    </row>
    <row r="15" spans="3:18" x14ac:dyDescent="0.25">
      <c r="C15" s="179" t="s">
        <v>293</v>
      </c>
      <c r="D15" s="180">
        <v>29057975000</v>
      </c>
      <c r="E15" s="180">
        <v>6566976000</v>
      </c>
      <c r="F15" s="180">
        <v>43376630000</v>
      </c>
      <c r="G15" s="180">
        <v>51633856000</v>
      </c>
      <c r="H15" s="180">
        <v>35993876000</v>
      </c>
      <c r="I15" s="282"/>
      <c r="J15" s="282" t="s">
        <v>92</v>
      </c>
      <c r="K15" s="304">
        <f>+D22/D2</f>
        <v>0.25563622039077089</v>
      </c>
      <c r="L15" s="304">
        <f t="shared" ref="L15:O15" si="0">+E22/E2</f>
        <v>0.19542734840361436</v>
      </c>
      <c r="M15" s="304">
        <f t="shared" si="0"/>
        <v>0.28557972276602933</v>
      </c>
      <c r="N15" s="304">
        <f t="shared" si="0"/>
        <v>0.31483983220187861</v>
      </c>
      <c r="O15" s="304">
        <f t="shared" si="0"/>
        <v>0.28404459922441139</v>
      </c>
      <c r="P15" s="282"/>
      <c r="Q15" s="282"/>
      <c r="R15" s="282"/>
    </row>
    <row r="16" spans="3:18" x14ac:dyDescent="0.25">
      <c r="C16" s="179" t="s">
        <v>294</v>
      </c>
      <c r="D16" s="180">
        <v>263804597000</v>
      </c>
      <c r="E16" s="180">
        <v>252368518000</v>
      </c>
      <c r="F16" s="180">
        <v>258854730000</v>
      </c>
      <c r="G16" s="180">
        <v>227970943000</v>
      </c>
      <c r="H16" s="180">
        <v>200813112000</v>
      </c>
      <c r="I16" s="282"/>
      <c r="J16" s="282" t="s">
        <v>295</v>
      </c>
      <c r="K16" s="304">
        <f>+D21/D2</f>
        <v>0.11575957545029004</v>
      </c>
      <c r="L16" s="304">
        <f t="shared" ref="L16:O16" si="1">+E21/E2</f>
        <v>4.6098423262127208E-2</v>
      </c>
      <c r="M16" s="304">
        <f t="shared" si="1"/>
        <v>0.15618329282573457</v>
      </c>
      <c r="N16" s="304">
        <f t="shared" si="1"/>
        <v>0.19235494953003293</v>
      </c>
      <c r="O16" s="304">
        <f t="shared" si="1"/>
        <v>0.15594189306609482</v>
      </c>
      <c r="P16" s="282"/>
      <c r="Q16" s="282"/>
      <c r="R16" s="282"/>
    </row>
    <row r="17" spans="1:137" x14ac:dyDescent="0.25">
      <c r="A17" s="282"/>
      <c r="B17" s="282"/>
      <c r="C17" s="179" t="s">
        <v>296</v>
      </c>
      <c r="D17" s="180">
        <v>32069057000</v>
      </c>
      <c r="E17" s="180">
        <v>14473401000</v>
      </c>
      <c r="F17" s="180">
        <v>54730018000</v>
      </c>
      <c r="G17" s="180">
        <v>39243791000</v>
      </c>
      <c r="H17" s="180">
        <v>26090846000</v>
      </c>
      <c r="I17" s="282"/>
      <c r="J17" s="282" t="s">
        <v>297</v>
      </c>
      <c r="K17" s="304">
        <f>+D8/D2</f>
        <v>0.11318198762524014</v>
      </c>
      <c r="L17" s="304">
        <f t="shared" ref="L17:O17" si="2">+E8/E2</f>
        <v>4.2505818070658168E-2</v>
      </c>
      <c r="M17" s="304">
        <f t="shared" si="2"/>
        <v>0.15365868717263489</v>
      </c>
      <c r="N17" s="304">
        <f t="shared" si="2"/>
        <v>0.19081155685028139</v>
      </c>
      <c r="O17" s="304">
        <f t="shared" si="2"/>
        <v>0.15347991757743229</v>
      </c>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c r="BI17" s="282"/>
      <c r="BJ17" s="282"/>
      <c r="BK17" s="282"/>
      <c r="BL17" s="282"/>
      <c r="BM17" s="282"/>
      <c r="BN17" s="282"/>
      <c r="BO17" s="282"/>
      <c r="BP17" s="282"/>
      <c r="BQ17" s="282"/>
      <c r="BR17" s="282"/>
      <c r="BS17" s="282"/>
      <c r="BT17" s="282"/>
      <c r="BU17" s="282"/>
      <c r="BV17" s="282"/>
      <c r="BW17" s="282"/>
      <c r="BX17" s="282"/>
      <c r="BY17" s="282"/>
      <c r="BZ17" s="282"/>
      <c r="CA17" s="282"/>
      <c r="CB17" s="282"/>
      <c r="CC17" s="282"/>
      <c r="CD17" s="282"/>
      <c r="CE17" s="282"/>
      <c r="CF17" s="282"/>
      <c r="CG17" s="282"/>
      <c r="CH17" s="282"/>
      <c r="CI17" s="282"/>
      <c r="CJ17" s="282"/>
      <c r="CK17" s="282"/>
      <c r="CL17" s="282"/>
      <c r="CM17" s="282"/>
      <c r="CN17" s="282"/>
      <c r="CO17" s="282"/>
      <c r="CP17" s="282"/>
      <c r="CQ17" s="282"/>
      <c r="CR17" s="282"/>
      <c r="CS17" s="282"/>
      <c r="CT17" s="282"/>
      <c r="CU17" s="282"/>
      <c r="CV17" s="282"/>
      <c r="CW17" s="282"/>
      <c r="CX17" s="282"/>
      <c r="CY17" s="282"/>
      <c r="CZ17" s="282"/>
      <c r="DA17" s="282"/>
      <c r="DB17" s="282"/>
      <c r="DC17" s="282"/>
      <c r="DD17" s="282"/>
      <c r="DE17" s="282"/>
      <c r="DF17" s="282"/>
      <c r="DG17" s="282"/>
      <c r="DH17" s="282"/>
      <c r="DI17" s="282"/>
      <c r="DJ17" s="282"/>
      <c r="DK17" s="282"/>
      <c r="DL17" s="282"/>
      <c r="DM17" s="282"/>
      <c r="DN17" s="282"/>
      <c r="DO17" s="282"/>
      <c r="DP17" s="282"/>
      <c r="DQ17" s="282"/>
      <c r="DR17" s="282"/>
      <c r="DS17" s="282"/>
      <c r="DT17" s="282"/>
      <c r="DU17" s="282"/>
      <c r="DV17" s="282"/>
      <c r="DW17" s="282"/>
      <c r="DX17" s="282"/>
      <c r="DY17" s="282"/>
      <c r="DZ17" s="282"/>
      <c r="EA17" s="282"/>
      <c r="EB17" s="282"/>
      <c r="EC17" s="282"/>
      <c r="ED17" s="282"/>
      <c r="EE17" s="282"/>
      <c r="EF17" s="282"/>
      <c r="EG17" s="282"/>
    </row>
    <row r="18" spans="1:137" x14ac:dyDescent="0.25">
      <c r="A18" s="282"/>
      <c r="B18" s="282"/>
      <c r="C18" s="179" t="s">
        <v>298</v>
      </c>
      <c r="D18" s="180">
        <v>4581645000</v>
      </c>
      <c r="E18" s="180">
        <v>4358022000</v>
      </c>
      <c r="F18" s="180">
        <v>2720479000</v>
      </c>
      <c r="G18" s="180">
        <v>1278278000</v>
      </c>
      <c r="H18" s="180">
        <v>1974458000</v>
      </c>
      <c r="I18" s="282"/>
      <c r="J18" s="282" t="s">
        <v>299</v>
      </c>
      <c r="K18" s="304">
        <f>+D4/D2</f>
        <v>0.36690779318840372</v>
      </c>
      <c r="L18" s="304">
        <f t="shared" ref="L18:O18" si="3">+E4/E2</f>
        <v>0.3033454888189257</v>
      </c>
      <c r="M18" s="304">
        <f t="shared" si="3"/>
        <v>0.3712043316749129</v>
      </c>
      <c r="N18" s="304">
        <f t="shared" si="3"/>
        <v>0.40483374178423881</v>
      </c>
      <c r="O18" s="304">
        <f t="shared" si="3"/>
        <v>0.38984783675387147</v>
      </c>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82"/>
      <c r="BP18" s="282"/>
      <c r="BQ18" s="282"/>
      <c r="BR18" s="282"/>
      <c r="BS18" s="282"/>
      <c r="BT18" s="282"/>
      <c r="BU18" s="282"/>
      <c r="BV18" s="282"/>
      <c r="BW18" s="282"/>
      <c r="BX18" s="282"/>
      <c r="BY18" s="282"/>
      <c r="BZ18" s="282"/>
      <c r="CA18" s="282"/>
      <c r="CB18" s="282"/>
      <c r="CC18" s="282"/>
      <c r="CD18" s="282"/>
      <c r="CE18" s="282"/>
      <c r="CF18" s="282"/>
      <c r="CG18" s="282"/>
      <c r="CH18" s="282"/>
      <c r="CI18" s="282"/>
      <c r="CJ18" s="282"/>
      <c r="CK18" s="282"/>
      <c r="CL18" s="282"/>
      <c r="CM18" s="282"/>
      <c r="CN18" s="282"/>
      <c r="CO18" s="282"/>
      <c r="CP18" s="282"/>
      <c r="CQ18" s="282"/>
      <c r="CR18" s="282"/>
      <c r="CS18" s="282"/>
      <c r="CT18" s="282"/>
      <c r="CU18" s="282"/>
      <c r="CV18" s="282"/>
      <c r="CW18" s="282"/>
      <c r="CX18" s="282"/>
      <c r="CY18" s="282"/>
      <c r="CZ18" s="282"/>
      <c r="DA18" s="282"/>
      <c r="DB18" s="282"/>
      <c r="DC18" s="282"/>
      <c r="DD18" s="282"/>
      <c r="DE18" s="282"/>
      <c r="DF18" s="282"/>
      <c r="DG18" s="282"/>
      <c r="DH18" s="282"/>
      <c r="DI18" s="282"/>
      <c r="DJ18" s="282"/>
      <c r="DK18" s="282"/>
      <c r="DL18" s="282"/>
      <c r="DM18" s="282"/>
      <c r="DN18" s="282"/>
      <c r="DO18" s="282"/>
      <c r="DP18" s="282"/>
      <c r="DQ18" s="282"/>
      <c r="DR18" s="282"/>
      <c r="DS18" s="282"/>
      <c r="DT18" s="282"/>
      <c r="DU18" s="282"/>
      <c r="DV18" s="282"/>
      <c r="DW18" s="282"/>
      <c r="DX18" s="282"/>
      <c r="DY18" s="282"/>
      <c r="DZ18" s="282"/>
      <c r="EA18" s="282"/>
      <c r="EB18" s="282"/>
      <c r="EC18" s="282"/>
      <c r="ED18" s="282"/>
      <c r="EE18" s="282"/>
      <c r="EF18" s="282"/>
      <c r="EG18" s="282"/>
    </row>
    <row r="19" spans="1:137" x14ac:dyDescent="0.25">
      <c r="A19" s="282"/>
      <c r="B19" s="282"/>
      <c r="C19" s="179" t="s">
        <v>300</v>
      </c>
      <c r="D19" s="180">
        <v>754879000</v>
      </c>
      <c r="E19" s="180">
        <v>930253000</v>
      </c>
      <c r="F19" s="180">
        <v>763015000</v>
      </c>
      <c r="G19" s="180">
        <v>431540000</v>
      </c>
      <c r="H19" s="180">
        <v>583013000</v>
      </c>
      <c r="I19" s="282"/>
      <c r="J19" s="282" t="s">
        <v>301</v>
      </c>
      <c r="K19" s="304">
        <f>+D5/D2</f>
        <v>0.26768727893300071</v>
      </c>
      <c r="L19" s="304">
        <f t="shared" ref="L19:O19" si="4">+E5/E2</f>
        <v>0.27798405266139375</v>
      </c>
      <c r="M19" s="304">
        <f t="shared" si="4"/>
        <v>0.22768305711227318</v>
      </c>
      <c r="N19" s="304">
        <f t="shared" si="4"/>
        <v>0.22016646788669747</v>
      </c>
      <c r="O19" s="304">
        <f t="shared" si="4"/>
        <v>0.2378511566559007</v>
      </c>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82"/>
      <c r="BP19" s="282"/>
      <c r="BQ19" s="282"/>
      <c r="BR19" s="282"/>
      <c r="BS19" s="282"/>
      <c r="BT19" s="282"/>
      <c r="BU19" s="282"/>
      <c r="BV19" s="282"/>
      <c r="BW19" s="282"/>
      <c r="BX19" s="282"/>
      <c r="BY19" s="282"/>
      <c r="BZ19" s="282"/>
      <c r="CA19" s="282"/>
      <c r="CB19" s="282"/>
      <c r="CC19" s="282"/>
      <c r="CD19" s="282"/>
      <c r="CE19" s="282"/>
      <c r="CF19" s="282"/>
      <c r="CG19" s="282"/>
      <c r="CH19" s="282"/>
      <c r="CI19" s="282"/>
      <c r="CJ19" s="282"/>
      <c r="CK19" s="282"/>
      <c r="CL19" s="282"/>
      <c r="CM19" s="282"/>
      <c r="CN19" s="282"/>
      <c r="CO19" s="282"/>
      <c r="CP19" s="282"/>
      <c r="CQ19" s="282"/>
      <c r="CR19" s="282"/>
      <c r="CS19" s="282"/>
      <c r="CT19" s="282"/>
      <c r="CU19" s="282"/>
      <c r="CV19" s="282"/>
      <c r="CW19" s="282"/>
      <c r="CX19" s="282"/>
      <c r="CY19" s="282"/>
      <c r="CZ19" s="282"/>
      <c r="DA19" s="282"/>
      <c r="DB19" s="282"/>
      <c r="DC19" s="282"/>
      <c r="DD19" s="282"/>
      <c r="DE19" s="282"/>
      <c r="DF19" s="282"/>
      <c r="DG19" s="282"/>
      <c r="DH19" s="282"/>
      <c r="DI19" s="282"/>
      <c r="DJ19" s="282"/>
      <c r="DK19" s="282"/>
      <c r="DL19" s="282"/>
      <c r="DM19" s="282"/>
      <c r="DN19" s="282"/>
      <c r="DO19" s="282"/>
      <c r="DP19" s="282"/>
      <c r="DQ19" s="282"/>
      <c r="DR19" s="282"/>
      <c r="DS19" s="282"/>
      <c r="DT19" s="282"/>
      <c r="DU19" s="282"/>
      <c r="DV19" s="282"/>
      <c r="DW19" s="282"/>
      <c r="DX19" s="282"/>
      <c r="DY19" s="282"/>
      <c r="DZ19" s="282"/>
      <c r="EA19" s="282"/>
      <c r="EB19" s="282"/>
      <c r="EC19" s="282"/>
      <c r="ED19" s="282"/>
      <c r="EE19" s="282"/>
      <c r="EF19" s="282"/>
      <c r="EG19" s="282"/>
    </row>
    <row r="20" spans="1:137" x14ac:dyDescent="0.25">
      <c r="A20" s="282"/>
      <c r="B20" s="282"/>
      <c r="C20" s="179" t="s">
        <v>302</v>
      </c>
      <c r="D20" s="180">
        <v>3826766000</v>
      </c>
      <c r="E20" s="180">
        <v>3427769000</v>
      </c>
      <c r="F20" s="180">
        <v>1957464000</v>
      </c>
      <c r="G20" s="180">
        <v>846738000</v>
      </c>
      <c r="H20" s="180">
        <v>1391445000</v>
      </c>
      <c r="I20" s="282"/>
      <c r="J20" s="282" t="s">
        <v>303</v>
      </c>
      <c r="K20" s="304">
        <f>+D10/D2</f>
        <v>0.10950206706509427</v>
      </c>
      <c r="L20" s="304">
        <f t="shared" ref="L20:O20" si="5">+E10/E2</f>
        <v>5.5895778428893185E-2</v>
      </c>
      <c r="M20" s="304">
        <f t="shared" si="5"/>
        <v>0.18108649612005848</v>
      </c>
      <c r="N20" s="304">
        <f t="shared" si="5"/>
        <v>0.14035449727742333</v>
      </c>
      <c r="O20" s="304">
        <f t="shared" si="5"/>
        <v>0.11017768614159308</v>
      </c>
      <c r="P20" s="282"/>
      <c r="Q20" s="282"/>
      <c r="R20" s="282"/>
      <c r="S20" s="282"/>
      <c r="T20" s="282"/>
      <c r="U20" s="282"/>
      <c r="V20" s="282"/>
      <c r="W20" s="282"/>
      <c r="X20" s="282"/>
      <c r="Y20" s="282"/>
      <c r="Z20" s="282"/>
      <c r="AA20" s="282"/>
      <c r="AB20" s="282"/>
      <c r="AC20" s="282"/>
      <c r="AD20" s="282"/>
      <c r="AE20" s="282"/>
      <c r="AF20" s="282"/>
      <c r="AG20" s="282"/>
      <c r="AH20" s="282"/>
      <c r="AI20" s="282"/>
      <c r="AJ20" s="282"/>
      <c r="AK20" s="282"/>
      <c r="AL20" s="282"/>
      <c r="AM20" s="282"/>
      <c r="AN20" s="282"/>
      <c r="AO20" s="282"/>
      <c r="AP20" s="282"/>
      <c r="AQ20" s="282"/>
      <c r="AR20" s="282"/>
      <c r="AS20" s="282"/>
      <c r="AT20" s="282"/>
      <c r="AU20" s="282"/>
      <c r="AV20" s="282"/>
      <c r="AW20" s="282"/>
      <c r="AX20" s="282"/>
      <c r="AY20" s="282"/>
      <c r="AZ20" s="282"/>
      <c r="BA20" s="282"/>
      <c r="BB20" s="282"/>
      <c r="BC20" s="282"/>
      <c r="BD20" s="282"/>
      <c r="BE20" s="282"/>
      <c r="BF20" s="282"/>
      <c r="BG20" s="282"/>
      <c r="BH20" s="282"/>
      <c r="BI20" s="282"/>
      <c r="BJ20" s="282"/>
      <c r="BK20" s="282"/>
      <c r="BL20" s="282"/>
      <c r="BM20" s="282"/>
      <c r="BN20" s="282"/>
      <c r="BO20" s="282"/>
      <c r="BP20" s="282"/>
      <c r="BQ20" s="282"/>
      <c r="BR20" s="282"/>
      <c r="BS20" s="282"/>
      <c r="BT20" s="282"/>
      <c r="BU20" s="282"/>
      <c r="BV20" s="282"/>
      <c r="BW20" s="282"/>
      <c r="BX20" s="282"/>
      <c r="BY20" s="282"/>
      <c r="BZ20" s="282"/>
      <c r="CA20" s="282"/>
      <c r="CB20" s="282"/>
      <c r="CC20" s="282"/>
      <c r="CD20" s="282"/>
      <c r="CE20" s="282"/>
      <c r="CF20" s="282"/>
      <c r="CG20" s="282"/>
      <c r="CH20" s="282"/>
      <c r="CI20" s="282"/>
      <c r="CJ20" s="282"/>
      <c r="CK20" s="282"/>
      <c r="CL20" s="282"/>
      <c r="CM20" s="282"/>
      <c r="CN20" s="282"/>
      <c r="CO20" s="282"/>
      <c r="CP20" s="282"/>
      <c r="CQ20" s="282"/>
      <c r="CR20" s="282"/>
      <c r="CS20" s="282"/>
      <c r="CT20" s="282"/>
      <c r="CU20" s="282"/>
      <c r="CV20" s="282"/>
      <c r="CW20" s="282"/>
      <c r="CX20" s="282"/>
      <c r="CY20" s="282"/>
      <c r="CZ20" s="282"/>
      <c r="DA20" s="282"/>
      <c r="DB20" s="282"/>
      <c r="DC20" s="282"/>
      <c r="DD20" s="282"/>
      <c r="DE20" s="282"/>
      <c r="DF20" s="282"/>
      <c r="DG20" s="282"/>
      <c r="DH20" s="282"/>
      <c r="DI20" s="282"/>
      <c r="DJ20" s="282"/>
      <c r="DK20" s="282"/>
      <c r="DL20" s="282"/>
      <c r="DM20" s="282"/>
      <c r="DN20" s="282"/>
      <c r="DO20" s="282"/>
      <c r="DP20" s="282"/>
      <c r="DQ20" s="282"/>
      <c r="DR20" s="282"/>
      <c r="DS20" s="282"/>
      <c r="DT20" s="282"/>
      <c r="DU20" s="282"/>
      <c r="DV20" s="282"/>
      <c r="DW20" s="282"/>
      <c r="DX20" s="282"/>
      <c r="DY20" s="282"/>
      <c r="DZ20" s="282"/>
      <c r="EA20" s="282"/>
      <c r="EB20" s="282"/>
      <c r="EC20" s="282"/>
      <c r="ED20" s="282"/>
      <c r="EE20" s="282"/>
      <c r="EF20" s="282"/>
      <c r="EG20" s="282"/>
    </row>
    <row r="21" spans="1:137" x14ac:dyDescent="0.25">
      <c r="A21" s="282"/>
      <c r="B21" s="282"/>
      <c r="C21" s="179" t="s">
        <v>10</v>
      </c>
      <c r="D21" s="180">
        <v>33901647000</v>
      </c>
      <c r="E21" s="180">
        <v>11936518000</v>
      </c>
      <c r="F21" s="180">
        <v>47203489000</v>
      </c>
      <c r="G21" s="180">
        <v>53783367000</v>
      </c>
      <c r="H21" s="180">
        <v>36928130000</v>
      </c>
      <c r="I21" s="282"/>
      <c r="J21" s="282"/>
      <c r="K21" s="303"/>
      <c r="L21" s="303"/>
      <c r="M21" s="303"/>
      <c r="N21" s="303"/>
      <c r="O21" s="303"/>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c r="BJ21" s="282"/>
      <c r="BK21" s="282"/>
      <c r="BL21" s="282"/>
      <c r="BM21" s="282"/>
      <c r="BN21" s="282"/>
      <c r="BO21" s="282"/>
      <c r="BP21" s="282"/>
      <c r="BQ21" s="282"/>
      <c r="BR21" s="282"/>
      <c r="BS21" s="282"/>
      <c r="BT21" s="282"/>
      <c r="BU21" s="282"/>
      <c r="BV21" s="282"/>
      <c r="BW21" s="282"/>
      <c r="BX21" s="282"/>
      <c r="BY21" s="282"/>
      <c r="BZ21" s="282"/>
      <c r="CA21" s="282"/>
      <c r="CB21" s="282"/>
      <c r="CC21" s="282"/>
      <c r="CD21" s="282"/>
      <c r="CE21" s="282"/>
      <c r="CF21" s="282"/>
      <c r="CG21" s="282"/>
      <c r="CH21" s="282"/>
      <c r="CI21" s="282"/>
      <c r="CJ21" s="282"/>
      <c r="CK21" s="282"/>
      <c r="CL21" s="282"/>
      <c r="CM21" s="282"/>
      <c r="CN21" s="282"/>
      <c r="CO21" s="282"/>
      <c r="CP21" s="282"/>
      <c r="CQ21" s="282"/>
      <c r="CR21" s="282"/>
      <c r="CS21" s="282"/>
      <c r="CT21" s="282"/>
      <c r="CU21" s="282"/>
      <c r="CV21" s="282"/>
      <c r="CW21" s="282"/>
      <c r="CX21" s="282"/>
      <c r="CY21" s="282"/>
      <c r="CZ21" s="282"/>
      <c r="DA21" s="282"/>
      <c r="DB21" s="282"/>
      <c r="DC21" s="282"/>
      <c r="DD21" s="282"/>
      <c r="DE21" s="282"/>
      <c r="DF21" s="282"/>
      <c r="DG21" s="282"/>
      <c r="DH21" s="282"/>
      <c r="DI21" s="282"/>
      <c r="DJ21" s="282"/>
      <c r="DK21" s="282"/>
      <c r="DL21" s="282"/>
      <c r="DM21" s="282"/>
      <c r="DN21" s="282"/>
      <c r="DO21" s="282"/>
      <c r="DP21" s="282"/>
      <c r="DQ21" s="282"/>
      <c r="DR21" s="282"/>
      <c r="DS21" s="282"/>
      <c r="DT21" s="282"/>
      <c r="DU21" s="282"/>
      <c r="DV21" s="282"/>
      <c r="DW21" s="282"/>
      <c r="DX21" s="282"/>
      <c r="DY21" s="282"/>
      <c r="DZ21" s="282"/>
      <c r="EA21" s="282"/>
      <c r="EB21" s="282"/>
      <c r="EC21" s="282"/>
      <c r="ED21" s="282"/>
      <c r="EE21" s="282"/>
      <c r="EF21" s="282"/>
      <c r="EG21" s="282"/>
    </row>
    <row r="22" spans="1:137" x14ac:dyDescent="0.25">
      <c r="A22" s="282"/>
      <c r="B22" s="282"/>
      <c r="C22" s="179" t="s">
        <v>89</v>
      </c>
      <c r="D22" s="180">
        <v>74866281000</v>
      </c>
      <c r="E22" s="180">
        <v>50603077000</v>
      </c>
      <c r="F22" s="180">
        <v>86311148000</v>
      </c>
      <c r="G22" s="180">
        <v>88030728000</v>
      </c>
      <c r="H22" s="180">
        <v>67263746000</v>
      </c>
      <c r="I22" s="282"/>
      <c r="J22" s="282" t="s">
        <v>304</v>
      </c>
      <c r="K22" s="308">
        <f>+D40/D41</f>
        <v>2.5190204822510518</v>
      </c>
      <c r="L22" s="308">
        <f t="shared" ref="L22:O22" si="6">+E40/E41</f>
        <v>2.5876647522488674</v>
      </c>
      <c r="M22" s="308">
        <f t="shared" si="6"/>
        <v>2.7885760892113245</v>
      </c>
      <c r="N22" s="308">
        <f t="shared" si="6"/>
        <v>2.475831629701343</v>
      </c>
      <c r="O22" s="308">
        <f t="shared" si="6"/>
        <v>2.6217483038773786</v>
      </c>
      <c r="P22" s="282"/>
      <c r="Q22" s="282"/>
      <c r="R22" s="282"/>
      <c r="S22" s="282"/>
      <c r="T22" s="282"/>
      <c r="U22" s="282"/>
      <c r="V22" s="282"/>
      <c r="W22" s="282"/>
      <c r="X22" s="282"/>
      <c r="Y22" s="282"/>
      <c r="Z22" s="282"/>
      <c r="AA22" s="282"/>
      <c r="AB22" s="282"/>
      <c r="AC22" s="282"/>
      <c r="AD22" s="282"/>
      <c r="AE22" s="282"/>
      <c r="AF22" s="282"/>
      <c r="AG22" s="282"/>
      <c r="AH22" s="282"/>
      <c r="AI22" s="282"/>
      <c r="AJ22" s="282"/>
      <c r="AK22" s="282"/>
      <c r="AL22" s="282"/>
      <c r="AM22" s="282"/>
      <c r="AN22" s="282"/>
      <c r="AO22" s="282"/>
      <c r="AP22" s="282"/>
      <c r="AQ22" s="282"/>
      <c r="AR22" s="282"/>
      <c r="AS22" s="282"/>
      <c r="AT22" s="282"/>
      <c r="AU22" s="282"/>
      <c r="AV22" s="282"/>
      <c r="AW22" s="282"/>
      <c r="AX22" s="282"/>
      <c r="AY22" s="282"/>
      <c r="AZ22" s="282"/>
      <c r="BA22" s="282"/>
      <c r="BB22" s="282"/>
      <c r="BC22" s="282"/>
      <c r="BD22" s="282"/>
      <c r="BE22" s="282"/>
      <c r="BF22" s="282"/>
      <c r="BG22" s="282"/>
      <c r="BH22" s="282"/>
      <c r="BI22" s="282"/>
      <c r="BJ22" s="282"/>
      <c r="BK22" s="282"/>
      <c r="BL22" s="282"/>
      <c r="BM22" s="282"/>
      <c r="BN22" s="282"/>
      <c r="BO22" s="282"/>
      <c r="BP22" s="282"/>
      <c r="BQ22" s="282"/>
      <c r="BR22" s="282"/>
      <c r="BS22" s="282"/>
      <c r="BT22" s="282"/>
      <c r="BU22" s="282"/>
      <c r="BV22" s="282"/>
      <c r="BW22" s="282"/>
      <c r="BX22" s="282"/>
      <c r="BY22" s="282"/>
      <c r="BZ22" s="282"/>
      <c r="CA22" s="282"/>
      <c r="CB22" s="282"/>
      <c r="CC22" s="282"/>
      <c r="CD22" s="282"/>
      <c r="CE22" s="282"/>
      <c r="CF22" s="282"/>
      <c r="CG22" s="282"/>
      <c r="CH22" s="282"/>
      <c r="CI22" s="282"/>
      <c r="CJ22" s="282"/>
      <c r="CK22" s="282"/>
      <c r="CL22" s="282"/>
      <c r="CM22" s="282"/>
      <c r="CN22" s="282"/>
      <c r="CO22" s="282"/>
      <c r="CP22" s="282"/>
      <c r="CQ22" s="282"/>
      <c r="CR22" s="282"/>
      <c r="CS22" s="282"/>
      <c r="CT22" s="282"/>
      <c r="CU22" s="282"/>
      <c r="CV22" s="282"/>
      <c r="CW22" s="282"/>
      <c r="CX22" s="282"/>
      <c r="CY22" s="282"/>
      <c r="CZ22" s="282"/>
      <c r="DA22" s="282"/>
      <c r="DB22" s="282"/>
      <c r="DC22" s="282"/>
      <c r="DD22" s="282"/>
      <c r="DE22" s="282"/>
      <c r="DF22" s="282"/>
      <c r="DG22" s="282"/>
      <c r="DH22" s="282"/>
      <c r="DI22" s="282"/>
      <c r="DJ22" s="282"/>
      <c r="DK22" s="282"/>
      <c r="DL22" s="282"/>
      <c r="DM22" s="282"/>
      <c r="DN22" s="282"/>
      <c r="DO22" s="282"/>
      <c r="DP22" s="282"/>
      <c r="DQ22" s="282"/>
      <c r="DR22" s="282"/>
      <c r="DS22" s="282"/>
      <c r="DT22" s="282"/>
      <c r="DU22" s="282"/>
      <c r="DV22" s="282"/>
      <c r="DW22" s="282"/>
      <c r="DX22" s="282"/>
      <c r="DY22" s="282"/>
      <c r="DZ22" s="282"/>
      <c r="EA22" s="282"/>
      <c r="EB22" s="282"/>
      <c r="EC22" s="282"/>
      <c r="ED22" s="282"/>
      <c r="EE22" s="282"/>
      <c r="EF22" s="282"/>
      <c r="EG22" s="282"/>
    </row>
    <row r="23" spans="1:137" x14ac:dyDescent="0.25">
      <c r="A23" s="282"/>
      <c r="B23" s="282"/>
      <c r="C23" s="282"/>
      <c r="D23" s="282"/>
      <c r="E23" s="282"/>
      <c r="F23" s="282"/>
      <c r="G23" s="282"/>
      <c r="H23" s="282"/>
      <c r="I23" s="282"/>
      <c r="J23" s="282" t="s">
        <v>305</v>
      </c>
      <c r="K23" s="308">
        <v>1.8</v>
      </c>
      <c r="L23" s="308">
        <v>1.8</v>
      </c>
      <c r="M23" s="308">
        <v>2</v>
      </c>
      <c r="N23" s="308">
        <v>1.9</v>
      </c>
      <c r="O23" s="308">
        <v>2.1</v>
      </c>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Q23" s="282"/>
      <c r="BR23" s="282"/>
      <c r="BS23" s="282"/>
      <c r="BT23" s="282"/>
      <c r="BU23" s="282"/>
      <c r="BV23" s="282"/>
      <c r="BW23" s="282"/>
      <c r="BX23" s="282"/>
      <c r="BY23" s="282"/>
      <c r="BZ23" s="282"/>
      <c r="CA23" s="282"/>
      <c r="CB23" s="282"/>
      <c r="CC23" s="282"/>
      <c r="CD23" s="282"/>
      <c r="CE23" s="282"/>
      <c r="CF23" s="282"/>
      <c r="CG23" s="282"/>
      <c r="CH23" s="282"/>
      <c r="CI23" s="282"/>
      <c r="CJ23" s="282"/>
      <c r="CK23" s="282"/>
      <c r="CL23" s="282"/>
      <c r="CM23" s="282"/>
      <c r="CN23" s="282"/>
      <c r="CO23" s="282"/>
      <c r="CP23" s="282"/>
      <c r="CQ23" s="282"/>
      <c r="CR23" s="282"/>
      <c r="CS23" s="282"/>
      <c r="CT23" s="282"/>
      <c r="CU23" s="282"/>
      <c r="CV23" s="282"/>
      <c r="CW23" s="282"/>
      <c r="CX23" s="282"/>
      <c r="CY23" s="282"/>
      <c r="CZ23" s="282"/>
      <c r="DA23" s="282"/>
      <c r="DB23" s="282"/>
      <c r="DC23" s="282"/>
      <c r="DD23" s="282"/>
      <c r="DE23" s="282"/>
      <c r="DF23" s="282"/>
      <c r="DG23" s="282"/>
      <c r="DH23" s="282"/>
      <c r="DI23" s="282"/>
      <c r="DJ23" s="282"/>
      <c r="DK23" s="282"/>
      <c r="DL23" s="282"/>
      <c r="DM23" s="282"/>
      <c r="DN23" s="282"/>
      <c r="DO23" s="282"/>
      <c r="DP23" s="282"/>
      <c r="DQ23" s="282"/>
      <c r="DR23" s="282"/>
      <c r="DS23" s="282"/>
      <c r="DT23" s="282"/>
      <c r="DU23" s="282"/>
      <c r="DV23" s="282"/>
      <c r="DW23" s="282"/>
      <c r="DX23" s="282"/>
      <c r="DY23" s="282"/>
      <c r="DZ23" s="282"/>
      <c r="EA23" s="282"/>
      <c r="EB23" s="282"/>
      <c r="EC23" s="282"/>
      <c r="ED23" s="282"/>
      <c r="EE23" s="282"/>
      <c r="EF23" s="282"/>
      <c r="EG23" s="282"/>
    </row>
    <row r="24" spans="1:137" x14ac:dyDescent="0.25">
      <c r="A24" s="282"/>
      <c r="B24" s="282"/>
      <c r="C24" s="174" t="s">
        <v>34</v>
      </c>
      <c r="D24" s="184" t="s">
        <v>268</v>
      </c>
      <c r="E24" s="175">
        <v>45291</v>
      </c>
      <c r="F24" s="175">
        <v>44926</v>
      </c>
      <c r="G24" s="175">
        <v>44561</v>
      </c>
      <c r="H24" s="175">
        <v>44196</v>
      </c>
      <c r="I24" s="282"/>
      <c r="J24" s="282" t="s">
        <v>306</v>
      </c>
      <c r="K24" s="308">
        <v>55</v>
      </c>
      <c r="L24" s="308">
        <v>51</v>
      </c>
      <c r="M24" s="308">
        <v>46.2</v>
      </c>
      <c r="N24" s="308">
        <v>46.8</v>
      </c>
      <c r="O24" s="308">
        <v>51.1</v>
      </c>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282"/>
      <c r="AY24" s="282"/>
      <c r="AZ24" s="282"/>
      <c r="BA24" s="282"/>
      <c r="BB24" s="282"/>
      <c r="BC24" s="282"/>
      <c r="BD24" s="282"/>
      <c r="BE24" s="282"/>
      <c r="BF24" s="282"/>
      <c r="BG24" s="282"/>
      <c r="BH24" s="282"/>
      <c r="BI24" s="282"/>
      <c r="BJ24" s="282"/>
      <c r="BK24" s="282"/>
      <c r="BL24" s="282"/>
      <c r="BM24" s="282"/>
      <c r="BN24" s="282"/>
      <c r="BO24" s="282"/>
      <c r="BP24" s="282"/>
      <c r="BQ24" s="282"/>
      <c r="BR24" s="282"/>
      <c r="BS24" s="282"/>
      <c r="BT24" s="282"/>
      <c r="BU24" s="282"/>
      <c r="BV24" s="282"/>
      <c r="BW24" s="282"/>
      <c r="BX24" s="282"/>
      <c r="BY24" s="282"/>
      <c r="BZ24" s="282"/>
      <c r="CA24" s="282"/>
      <c r="CB24" s="282"/>
      <c r="CC24" s="282"/>
      <c r="CD24" s="282"/>
      <c r="CE24" s="282"/>
      <c r="CF24" s="282"/>
      <c r="CG24" s="282"/>
      <c r="CH24" s="282"/>
      <c r="CI24" s="282"/>
      <c r="CJ24" s="282"/>
      <c r="CK24" s="282"/>
      <c r="CL24" s="282"/>
      <c r="CM24" s="282"/>
      <c r="CN24" s="282"/>
      <c r="CO24" s="282"/>
      <c r="CP24" s="282"/>
      <c r="CQ24" s="282"/>
      <c r="CR24" s="282"/>
      <c r="CS24" s="282"/>
      <c r="CT24" s="282"/>
      <c r="CU24" s="282"/>
      <c r="CV24" s="282"/>
      <c r="CW24" s="282"/>
      <c r="CX24" s="282"/>
      <c r="CY24" s="282"/>
      <c r="CZ24" s="282"/>
      <c r="DA24" s="282"/>
      <c r="DB24" s="282"/>
      <c r="DC24" s="282"/>
      <c r="DD24" s="282"/>
      <c r="DE24" s="282"/>
      <c r="DF24" s="282"/>
      <c r="DG24" s="282"/>
      <c r="DH24" s="282"/>
      <c r="DI24" s="282"/>
      <c r="DJ24" s="282"/>
      <c r="DK24" s="282"/>
      <c r="DL24" s="282"/>
      <c r="DM24" s="282"/>
      <c r="DN24" s="282"/>
      <c r="DO24" s="282"/>
      <c r="DP24" s="282"/>
      <c r="DQ24" s="282"/>
      <c r="DR24" s="282"/>
      <c r="DS24" s="282"/>
      <c r="DT24" s="282"/>
      <c r="DU24" s="282"/>
      <c r="DV24" s="282"/>
      <c r="DW24" s="282"/>
      <c r="DX24" s="282"/>
      <c r="DY24" s="282"/>
      <c r="DZ24" s="282"/>
      <c r="EA24" s="282"/>
      <c r="EB24" s="282"/>
      <c r="EC24" s="282"/>
      <c r="ED24" s="282"/>
      <c r="EE24" s="282"/>
      <c r="EF24" s="282"/>
      <c r="EG24" s="282"/>
    </row>
    <row r="25" spans="1:137" x14ac:dyDescent="0.25">
      <c r="A25" s="282"/>
      <c r="B25" s="282"/>
      <c r="C25" s="282" t="s">
        <v>307</v>
      </c>
      <c r="D25" s="185">
        <v>491307317000</v>
      </c>
      <c r="E25" s="180">
        <v>455905980000</v>
      </c>
      <c r="F25" s="180">
        <v>448424507000</v>
      </c>
      <c r="G25" s="180">
        <v>426621158000</v>
      </c>
      <c r="H25" s="180">
        <v>378235718000</v>
      </c>
      <c r="I25" s="282"/>
      <c r="J25" s="282" t="s">
        <v>308</v>
      </c>
      <c r="K25" s="308">
        <v>25.9</v>
      </c>
      <c r="L25" s="308">
        <v>22.3</v>
      </c>
      <c r="M25" s="308">
        <v>21.9</v>
      </c>
      <c r="N25" s="308">
        <v>24.1</v>
      </c>
      <c r="O25" s="308">
        <v>22.6</v>
      </c>
      <c r="P25" s="282"/>
      <c r="Q25" s="282"/>
      <c r="R25" s="282"/>
      <c r="S25" s="282"/>
      <c r="T25" s="282"/>
      <c r="U25" s="282"/>
      <c r="V25" s="282"/>
      <c r="W25" s="282"/>
      <c r="X25" s="282"/>
      <c r="Y25" s="282"/>
      <c r="Z25" s="282"/>
      <c r="AA25" s="282"/>
      <c r="AB25" s="282"/>
      <c r="AC25" s="282"/>
      <c r="AD25" s="282"/>
      <c r="AE25" s="282"/>
      <c r="AF25" s="282"/>
      <c r="AG25" s="282"/>
      <c r="AH25" s="282"/>
      <c r="AI25" s="282"/>
      <c r="AJ25" s="282"/>
      <c r="AK25" s="282"/>
      <c r="AL25" s="282"/>
      <c r="AM25" s="282"/>
      <c r="AN25" s="282"/>
      <c r="AO25" s="282"/>
      <c r="AP25" s="282"/>
      <c r="AQ25" s="282"/>
      <c r="AR25" s="282"/>
      <c r="AS25" s="282"/>
      <c r="AT25" s="282"/>
      <c r="AU25" s="282"/>
      <c r="AV25" s="282"/>
      <c r="AW25" s="282"/>
      <c r="AX25" s="282"/>
      <c r="AY25" s="282"/>
      <c r="AZ25" s="282"/>
      <c r="BA25" s="282"/>
      <c r="BB25" s="282"/>
      <c r="BC25" s="282"/>
      <c r="BD25" s="282"/>
      <c r="BE25" s="282"/>
      <c r="BF25" s="282"/>
      <c r="BG25" s="282"/>
      <c r="BH25" s="282"/>
      <c r="BI25" s="282"/>
      <c r="BJ25" s="282"/>
      <c r="BK25" s="282"/>
      <c r="BL25" s="282"/>
      <c r="BM25" s="282"/>
      <c r="BN25" s="282"/>
      <c r="BO25" s="282"/>
      <c r="BP25" s="282"/>
      <c r="BQ25" s="282"/>
      <c r="BR25" s="282"/>
      <c r="BS25" s="282"/>
      <c r="BT25" s="282"/>
      <c r="BU25" s="282"/>
      <c r="BV25" s="282"/>
      <c r="BW25" s="282"/>
      <c r="BX25" s="282"/>
      <c r="BY25" s="282"/>
      <c r="BZ25" s="282"/>
      <c r="CA25" s="282"/>
      <c r="CB25" s="282"/>
      <c r="CC25" s="282"/>
      <c r="CD25" s="282"/>
      <c r="CE25" s="282"/>
      <c r="CF25" s="282"/>
      <c r="CG25" s="282"/>
      <c r="CH25" s="282"/>
      <c r="CI25" s="282"/>
      <c r="CJ25" s="282"/>
      <c r="CK25" s="282"/>
      <c r="CL25" s="282"/>
      <c r="CM25" s="282"/>
      <c r="CN25" s="282"/>
      <c r="CO25" s="282"/>
      <c r="CP25" s="282"/>
      <c r="CQ25" s="282"/>
      <c r="CR25" s="282"/>
      <c r="CS25" s="282"/>
      <c r="CT25" s="282"/>
      <c r="CU25" s="282"/>
      <c r="CV25" s="282"/>
      <c r="CW25" s="282"/>
      <c r="CX25" s="282"/>
      <c r="CY25" s="282"/>
      <c r="CZ25" s="282"/>
      <c r="DA25" s="282"/>
      <c r="DB25" s="282"/>
      <c r="DC25" s="282"/>
      <c r="DD25" s="282"/>
      <c r="DE25" s="282"/>
      <c r="DF25" s="282"/>
      <c r="DG25" s="282"/>
      <c r="DH25" s="282"/>
      <c r="DI25" s="282"/>
      <c r="DJ25" s="282"/>
      <c r="DK25" s="282"/>
      <c r="DL25" s="282"/>
      <c r="DM25" s="282"/>
      <c r="DN25" s="282"/>
      <c r="DO25" s="282"/>
      <c r="DP25" s="282"/>
      <c r="DQ25" s="282"/>
      <c r="DR25" s="282"/>
      <c r="DS25" s="282"/>
      <c r="DT25" s="282"/>
      <c r="DU25" s="282"/>
      <c r="DV25" s="282"/>
      <c r="DW25" s="282"/>
      <c r="DX25" s="282"/>
      <c r="DY25" s="282"/>
      <c r="DZ25" s="282"/>
      <c r="EA25" s="282"/>
      <c r="EB25" s="282"/>
      <c r="EC25" s="282"/>
      <c r="ED25" s="282"/>
      <c r="EE25" s="282"/>
      <c r="EF25" s="282"/>
      <c r="EG25" s="282"/>
    </row>
    <row r="26" spans="1:137" x14ac:dyDescent="0.25">
      <c r="A26" s="282"/>
      <c r="B26" s="282"/>
      <c r="C26" s="282" t="s">
        <v>309</v>
      </c>
      <c r="D26" s="293">
        <f>105025954000-D65</f>
        <v>105015824835</v>
      </c>
      <c r="E26" s="180">
        <v>92228115000</v>
      </c>
      <c r="F26" s="180">
        <v>93674903000</v>
      </c>
      <c r="G26" s="180">
        <v>121721227000</v>
      </c>
      <c r="H26" s="180">
        <v>102287702000</v>
      </c>
      <c r="I26" s="282"/>
      <c r="J26" s="282" t="s">
        <v>310</v>
      </c>
      <c r="K26" s="308" t="s">
        <v>311</v>
      </c>
      <c r="L26" s="308">
        <v>133.69999999999999</v>
      </c>
      <c r="M26" s="308">
        <v>114.1</v>
      </c>
      <c r="N26" s="308">
        <v>103.2</v>
      </c>
      <c r="O26" s="308">
        <v>103</v>
      </c>
      <c r="P26" s="282"/>
      <c r="Q26" s="282"/>
      <c r="R26" s="282"/>
      <c r="S26" s="282"/>
      <c r="T26" s="282"/>
      <c r="U26" s="282"/>
      <c r="V26" s="282"/>
      <c r="W26" s="282"/>
      <c r="X26" s="282"/>
      <c r="Y26" s="282"/>
      <c r="Z26" s="282"/>
      <c r="AA26" s="282"/>
      <c r="AB26" s="282"/>
      <c r="AC26" s="282"/>
      <c r="AD26" s="282"/>
      <c r="AE26" s="282"/>
      <c r="AF26" s="282"/>
      <c r="AG26" s="282"/>
      <c r="AH26" s="282"/>
      <c r="AI26" s="282"/>
      <c r="AJ26" s="282"/>
      <c r="AK26" s="282"/>
      <c r="AL26" s="282"/>
      <c r="AM26" s="282"/>
      <c r="AN26" s="282"/>
      <c r="AO26" s="282"/>
      <c r="AP26" s="282"/>
      <c r="AQ26" s="282"/>
      <c r="AR26" s="282"/>
      <c r="AS26" s="282"/>
      <c r="AT26" s="282"/>
      <c r="AU26" s="282"/>
      <c r="AV26" s="282"/>
      <c r="AW26" s="282"/>
      <c r="AX26" s="282"/>
      <c r="AY26" s="282"/>
      <c r="AZ26" s="282"/>
      <c r="BA26" s="282"/>
      <c r="BB26" s="282"/>
      <c r="BC26" s="282"/>
      <c r="BD26" s="282"/>
      <c r="BE26" s="282"/>
      <c r="BF26" s="282"/>
      <c r="BG26" s="282"/>
      <c r="BH26" s="282"/>
      <c r="BI26" s="282"/>
      <c r="BJ26" s="282"/>
      <c r="BK26" s="282"/>
      <c r="BL26" s="282"/>
      <c r="BM26" s="282"/>
      <c r="BN26" s="282"/>
      <c r="BO26" s="282"/>
      <c r="BP26" s="282"/>
      <c r="BQ26" s="282"/>
      <c r="BR26" s="282"/>
      <c r="BS26" s="282"/>
      <c r="BT26" s="282"/>
      <c r="BU26" s="282"/>
      <c r="BV26" s="282"/>
      <c r="BW26" s="282"/>
      <c r="BX26" s="282"/>
      <c r="BY26" s="282"/>
      <c r="BZ26" s="282"/>
      <c r="CA26" s="282"/>
      <c r="CB26" s="282"/>
      <c r="CC26" s="282"/>
      <c r="CD26" s="282"/>
      <c r="CE26" s="282"/>
      <c r="CF26" s="282"/>
      <c r="CG26" s="282"/>
      <c r="CH26" s="282"/>
      <c r="CI26" s="282"/>
      <c r="CJ26" s="282"/>
      <c r="CK26" s="282"/>
      <c r="CL26" s="282"/>
      <c r="CM26" s="282"/>
      <c r="CN26" s="282"/>
      <c r="CO26" s="282"/>
      <c r="CP26" s="282"/>
      <c r="CQ26" s="282"/>
      <c r="CR26" s="282"/>
      <c r="CS26" s="282"/>
      <c r="CT26" s="282"/>
      <c r="CU26" s="282"/>
      <c r="CV26" s="282"/>
      <c r="CW26" s="282"/>
      <c r="CX26" s="282"/>
      <c r="CY26" s="282"/>
      <c r="CZ26" s="282"/>
      <c r="DA26" s="282"/>
      <c r="DB26" s="282"/>
      <c r="DC26" s="282"/>
      <c r="DD26" s="282"/>
      <c r="DE26" s="282"/>
      <c r="DF26" s="282"/>
      <c r="DG26" s="282"/>
      <c r="DH26" s="282"/>
      <c r="DI26" s="282"/>
      <c r="DJ26" s="282"/>
      <c r="DK26" s="282"/>
      <c r="DL26" s="282"/>
      <c r="DM26" s="282"/>
      <c r="DN26" s="282"/>
      <c r="DO26" s="282"/>
      <c r="DP26" s="282"/>
      <c r="DQ26" s="282"/>
      <c r="DR26" s="282"/>
      <c r="DS26" s="282"/>
      <c r="DT26" s="282"/>
      <c r="DU26" s="282"/>
      <c r="DV26" s="282"/>
      <c r="DW26" s="282"/>
      <c r="DX26" s="282"/>
      <c r="DY26" s="282"/>
      <c r="DZ26" s="282"/>
      <c r="EA26" s="282"/>
      <c r="EB26" s="282"/>
      <c r="EC26" s="282"/>
      <c r="ED26" s="282"/>
      <c r="EE26" s="282"/>
      <c r="EF26" s="282"/>
      <c r="EG26" s="282"/>
    </row>
    <row r="27" spans="1:137" x14ac:dyDescent="0.25">
      <c r="A27" s="282"/>
      <c r="B27" s="282"/>
      <c r="C27" s="282" t="s">
        <v>312</v>
      </c>
      <c r="D27" s="293">
        <f>386281363000+D65</f>
        <v>386291492165</v>
      </c>
      <c r="E27" s="180">
        <v>363677865000</v>
      </c>
      <c r="F27" s="180">
        <v>354749604000</v>
      </c>
      <c r="G27" s="180">
        <v>304899931000</v>
      </c>
      <c r="H27" s="180">
        <v>275948016000</v>
      </c>
      <c r="I27" s="282"/>
      <c r="J27" s="282"/>
      <c r="K27" s="303"/>
      <c r="L27" s="303"/>
      <c r="M27" s="303"/>
      <c r="N27" s="303"/>
      <c r="O27" s="303"/>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Q27" s="282"/>
      <c r="BR27" s="282"/>
      <c r="BS27" s="282"/>
      <c r="BT27" s="282"/>
      <c r="BU27" s="282"/>
      <c r="BV27" s="282"/>
      <c r="BW27" s="282"/>
      <c r="BX27" s="282"/>
      <c r="BY27" s="282"/>
      <c r="BZ27" s="282"/>
      <c r="CA27" s="282"/>
      <c r="CB27" s="282"/>
      <c r="CC27" s="282"/>
      <c r="CD27" s="282"/>
      <c r="CE27" s="282"/>
      <c r="CF27" s="282"/>
      <c r="CG27" s="282"/>
      <c r="CH27" s="282"/>
      <c r="CI27" s="282"/>
      <c r="CJ27" s="282"/>
      <c r="CK27" s="282"/>
      <c r="CL27" s="282"/>
      <c r="CM27" s="282"/>
      <c r="CN27" s="282"/>
      <c r="CO27" s="282"/>
      <c r="CP27" s="282"/>
      <c r="CQ27" s="282"/>
      <c r="CR27" s="282"/>
      <c r="CS27" s="282"/>
      <c r="CT27" s="282"/>
      <c r="CU27" s="282"/>
      <c r="CV27" s="282"/>
      <c r="CW27" s="282"/>
      <c r="CX27" s="282"/>
      <c r="CY27" s="282"/>
      <c r="CZ27" s="282"/>
      <c r="DA27" s="282"/>
      <c r="DB27" s="282"/>
      <c r="DC27" s="282"/>
      <c r="DD27" s="282"/>
      <c r="DE27" s="282"/>
      <c r="DF27" s="282"/>
      <c r="DG27" s="282"/>
      <c r="DH27" s="282"/>
      <c r="DI27" s="282"/>
      <c r="DJ27" s="282"/>
      <c r="DK27" s="282"/>
      <c r="DL27" s="282"/>
      <c r="DM27" s="282"/>
      <c r="DN27" s="282"/>
      <c r="DO27" s="282"/>
      <c r="DP27" s="282"/>
      <c r="DQ27" s="282"/>
      <c r="DR27" s="282"/>
      <c r="DS27" s="282"/>
      <c r="DT27" s="282"/>
      <c r="DU27" s="282"/>
      <c r="DV27" s="282"/>
      <c r="DW27" s="282"/>
      <c r="DX27" s="282"/>
      <c r="DY27" s="282"/>
      <c r="DZ27" s="282"/>
      <c r="EA27" s="282"/>
      <c r="EB27" s="282"/>
      <c r="EC27" s="282"/>
      <c r="ED27" s="282"/>
      <c r="EE27" s="282"/>
      <c r="EF27" s="282"/>
      <c r="EG27" s="282"/>
    </row>
    <row r="28" spans="1:137" x14ac:dyDescent="0.25">
      <c r="A28" s="282"/>
      <c r="B28" s="282"/>
      <c r="C28" s="282" t="s">
        <v>313</v>
      </c>
      <c r="D28" s="293"/>
      <c r="E28" s="180">
        <v>353771393000</v>
      </c>
      <c r="F28" s="180">
        <v>345756081000</v>
      </c>
      <c r="G28" s="180">
        <v>296747429000</v>
      </c>
      <c r="H28" s="180">
        <v>268618468000</v>
      </c>
      <c r="I28" s="282"/>
      <c r="J28" s="174" t="s">
        <v>314</v>
      </c>
      <c r="K28" s="177" t="s">
        <v>268</v>
      </c>
      <c r="L28" s="178">
        <v>2023</v>
      </c>
      <c r="M28" s="178">
        <v>2022</v>
      </c>
      <c r="N28" s="178">
        <v>2021</v>
      </c>
      <c r="O28" s="178">
        <v>2019</v>
      </c>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2"/>
      <c r="AM28" s="282"/>
      <c r="AN28" s="282"/>
      <c r="AO28" s="282"/>
      <c r="AP28" s="282"/>
      <c r="AQ28" s="282"/>
      <c r="AR28" s="282"/>
      <c r="AS28" s="282"/>
      <c r="AT28" s="282"/>
      <c r="AU28" s="282"/>
      <c r="AV28" s="282"/>
      <c r="AW28" s="282"/>
      <c r="AX28" s="282"/>
      <c r="AY28" s="282"/>
      <c r="AZ28" s="282"/>
      <c r="BA28" s="282"/>
      <c r="BB28" s="282"/>
      <c r="BC28" s="282"/>
      <c r="BD28" s="282"/>
      <c r="BE28" s="282"/>
      <c r="BF28" s="282"/>
      <c r="BG28" s="282"/>
      <c r="BH28" s="282"/>
      <c r="BI28" s="282"/>
      <c r="BJ28" s="282"/>
      <c r="BK28" s="282"/>
      <c r="BL28" s="282"/>
      <c r="BM28" s="282"/>
      <c r="BN28" s="282"/>
      <c r="BO28" s="282"/>
      <c r="BP28" s="282"/>
      <c r="BQ28" s="282"/>
      <c r="BR28" s="282"/>
      <c r="BS28" s="282"/>
      <c r="BT28" s="282"/>
      <c r="BU28" s="282"/>
      <c r="BV28" s="282"/>
      <c r="BW28" s="282"/>
      <c r="BX28" s="282"/>
      <c r="BY28" s="282"/>
      <c r="BZ28" s="282"/>
      <c r="CA28" s="282"/>
      <c r="CB28" s="282"/>
      <c r="CC28" s="282"/>
      <c r="CD28" s="282"/>
      <c r="CE28" s="282"/>
      <c r="CF28" s="282"/>
      <c r="CG28" s="282"/>
      <c r="CH28" s="282"/>
      <c r="CI28" s="282"/>
      <c r="CJ28" s="282"/>
      <c r="CK28" s="282"/>
      <c r="CL28" s="282"/>
      <c r="CM28" s="282"/>
      <c r="CN28" s="282"/>
      <c r="CO28" s="282"/>
      <c r="CP28" s="282"/>
      <c r="CQ28" s="282"/>
      <c r="CR28" s="282"/>
      <c r="CS28" s="282"/>
      <c r="CT28" s="282"/>
      <c r="CU28" s="282"/>
      <c r="CV28" s="282"/>
      <c r="CW28" s="282"/>
      <c r="CX28" s="282"/>
      <c r="CY28" s="282"/>
      <c r="CZ28" s="282"/>
      <c r="DA28" s="282"/>
      <c r="DB28" s="282"/>
      <c r="DC28" s="282"/>
      <c r="DD28" s="282"/>
      <c r="DE28" s="282"/>
      <c r="DF28" s="282"/>
      <c r="DG28" s="282"/>
      <c r="DH28" s="282"/>
      <c r="DI28" s="282"/>
      <c r="DJ28" s="282"/>
      <c r="DK28" s="282"/>
      <c r="DL28" s="282"/>
      <c r="DM28" s="282"/>
      <c r="DN28" s="282"/>
      <c r="DO28" s="282"/>
      <c r="DP28" s="282"/>
      <c r="DQ28" s="282"/>
      <c r="DR28" s="282"/>
      <c r="DS28" s="282"/>
      <c r="DT28" s="282"/>
      <c r="DU28" s="282"/>
      <c r="DV28" s="282"/>
      <c r="DW28" s="282"/>
      <c r="DX28" s="282"/>
      <c r="DY28" s="282"/>
      <c r="DZ28" s="282"/>
      <c r="EA28" s="282"/>
      <c r="EB28" s="282"/>
      <c r="EC28" s="282"/>
      <c r="ED28" s="282"/>
      <c r="EE28" s="282"/>
      <c r="EF28" s="282"/>
      <c r="EG28" s="282"/>
    </row>
    <row r="29" spans="1:137" x14ac:dyDescent="0.25">
      <c r="A29" s="309"/>
      <c r="B29" s="282"/>
      <c r="C29" s="282" t="s">
        <v>315</v>
      </c>
      <c r="D29" s="293">
        <f>+D64</f>
        <v>11946700</v>
      </c>
      <c r="E29" s="180">
        <v>119467000</v>
      </c>
      <c r="F29" s="180">
        <v>119467000</v>
      </c>
      <c r="G29" s="180">
        <v>119467000</v>
      </c>
      <c r="H29" s="180">
        <v>119467000</v>
      </c>
      <c r="I29" s="282"/>
      <c r="J29" s="282" t="s">
        <v>316</v>
      </c>
      <c r="K29" s="304">
        <f>+D63/D27*1000</f>
        <v>4.3831861025734789E-2</v>
      </c>
      <c r="L29" s="304">
        <f t="shared" ref="L29:O29" si="7">+E63/E27*1000</f>
        <v>3.4882364919294716E-2</v>
      </c>
      <c r="M29" s="304">
        <f t="shared" si="7"/>
        <v>2.9128269301746706E-2</v>
      </c>
      <c r="N29" s="304">
        <f t="shared" si="7"/>
        <v>6.0321919193874793E-2</v>
      </c>
      <c r="O29" s="304">
        <f t="shared" si="7"/>
        <v>7.3265179772120548E-2</v>
      </c>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82"/>
      <c r="BD29" s="282"/>
      <c r="BE29" s="282"/>
      <c r="BF29" s="282"/>
      <c r="BG29" s="282"/>
      <c r="BH29" s="282"/>
      <c r="BI29" s="282"/>
      <c r="BJ29" s="282"/>
      <c r="BK29" s="282"/>
      <c r="BL29" s="282"/>
      <c r="BM29" s="282"/>
      <c r="BN29" s="282"/>
      <c r="BO29" s="282"/>
      <c r="BP29" s="282"/>
      <c r="BQ29" s="282"/>
      <c r="BR29" s="282"/>
      <c r="BS29" s="282"/>
      <c r="BT29" s="282"/>
      <c r="BU29" s="282"/>
      <c r="BV29" s="282"/>
      <c r="BW29" s="282"/>
      <c r="BX29" s="282"/>
      <c r="BY29" s="282"/>
      <c r="BZ29" s="282"/>
      <c r="CA29" s="282"/>
      <c r="CB29" s="282"/>
      <c r="CC29" s="282"/>
      <c r="CD29" s="282"/>
      <c r="CE29" s="282"/>
      <c r="CF29" s="282"/>
      <c r="CG29" s="282"/>
      <c r="CH29" s="282"/>
      <c r="CI29" s="282"/>
      <c r="CJ29" s="282"/>
      <c r="CK29" s="282"/>
      <c r="CL29" s="282"/>
      <c r="CM29" s="282"/>
      <c r="CN29" s="282"/>
      <c r="CO29" s="282"/>
      <c r="CP29" s="282"/>
      <c r="CQ29" s="282"/>
      <c r="CR29" s="282"/>
      <c r="CS29" s="282"/>
      <c r="CT29" s="282"/>
      <c r="CU29" s="282"/>
      <c r="CV29" s="282"/>
      <c r="CW29" s="282"/>
      <c r="CX29" s="282"/>
      <c r="CY29" s="282"/>
      <c r="CZ29" s="282"/>
      <c r="DA29" s="282"/>
      <c r="DB29" s="282"/>
      <c r="DC29" s="282"/>
      <c r="DD29" s="282"/>
      <c r="DE29" s="282"/>
      <c r="DF29" s="282"/>
      <c r="DG29" s="282"/>
      <c r="DH29" s="282"/>
      <c r="DI29" s="282"/>
      <c r="DJ29" s="282"/>
      <c r="DK29" s="282"/>
      <c r="DL29" s="282"/>
      <c r="DM29" s="282"/>
      <c r="DN29" s="282"/>
      <c r="DO29" s="282"/>
      <c r="DP29" s="282"/>
      <c r="DQ29" s="282"/>
      <c r="DR29" s="282"/>
      <c r="DS29" s="282"/>
      <c r="DT29" s="282"/>
      <c r="DU29" s="282"/>
      <c r="DV29" s="282"/>
      <c r="DW29" s="282"/>
      <c r="DX29" s="282"/>
      <c r="DY29" s="282"/>
      <c r="DZ29" s="282"/>
      <c r="EA29" s="282"/>
      <c r="EB29" s="282"/>
      <c r="EC29" s="282"/>
      <c r="ED29" s="282"/>
      <c r="EE29" s="282"/>
      <c r="EF29" s="282"/>
      <c r="EG29" s="282"/>
    </row>
    <row r="30" spans="1:137" x14ac:dyDescent="0.25">
      <c r="A30" s="309"/>
      <c r="B30" s="282"/>
      <c r="C30" s="282" t="s">
        <v>317</v>
      </c>
      <c r="D30" s="293">
        <f>+D27-D29</f>
        <v>386279545465</v>
      </c>
      <c r="E30" s="180">
        <v>353114308000</v>
      </c>
      <c r="F30" s="180">
        <v>345066675000</v>
      </c>
      <c r="G30" s="180">
        <v>296118230000</v>
      </c>
      <c r="H30" s="180">
        <v>267550864000</v>
      </c>
      <c r="I30" s="282"/>
      <c r="J30" s="282" t="s">
        <v>318</v>
      </c>
      <c r="K30" s="304">
        <f>+D36/(D36+D27)</f>
        <v>4.1991304023487892E-2</v>
      </c>
      <c r="L30" s="304">
        <f t="shared" ref="L30:O30" si="8">+E36/(E36+E27)</f>
        <v>3.3706599031683195E-2</v>
      </c>
      <c r="M30" s="304">
        <f t="shared" si="8"/>
        <v>2.8303827783790203E-2</v>
      </c>
      <c r="N30" s="304">
        <f t="shared" si="8"/>
        <v>5.6890193536445435E-2</v>
      </c>
      <c r="O30" s="304">
        <f t="shared" si="8"/>
        <v>6.8263818814728039E-2</v>
      </c>
      <c r="P30" s="282"/>
      <c r="Q30" s="282"/>
      <c r="R30" s="282"/>
      <c r="S30" s="282"/>
      <c r="T30" s="282"/>
      <c r="U30" s="282"/>
      <c r="V30" s="282"/>
      <c r="W30" s="282"/>
      <c r="X30" s="282"/>
      <c r="Y30" s="282"/>
      <c r="Z30" s="282"/>
      <c r="AA30" s="282"/>
      <c r="AB30" s="282"/>
      <c r="AC30" s="282"/>
      <c r="AD30" s="282"/>
      <c r="AE30" s="282"/>
      <c r="AF30" s="282"/>
      <c r="AG30" s="282"/>
      <c r="AH30" s="282"/>
      <c r="AI30" s="282"/>
      <c r="AJ30" s="282"/>
      <c r="AK30" s="282"/>
      <c r="AL30" s="282"/>
      <c r="AM30" s="282"/>
      <c r="AN30" s="282"/>
      <c r="AO30" s="282"/>
      <c r="AP30" s="282"/>
      <c r="AQ30" s="282"/>
      <c r="AR30" s="282"/>
      <c r="AS30" s="282"/>
      <c r="AT30" s="282"/>
      <c r="AU30" s="282"/>
      <c r="AV30" s="282"/>
      <c r="AW30" s="282"/>
      <c r="AX30" s="282"/>
      <c r="AY30" s="282"/>
      <c r="AZ30" s="282"/>
      <c r="BA30" s="282"/>
      <c r="BB30" s="282"/>
      <c r="BC30" s="282"/>
      <c r="BD30" s="282"/>
      <c r="BE30" s="282"/>
      <c r="BF30" s="282"/>
      <c r="BG30" s="282"/>
      <c r="BH30" s="282"/>
      <c r="BI30" s="282"/>
      <c r="BJ30" s="282"/>
      <c r="BK30" s="282"/>
      <c r="BL30" s="282"/>
      <c r="BM30" s="282"/>
      <c r="BN30" s="282"/>
      <c r="BO30" s="282"/>
      <c r="BP30" s="282"/>
      <c r="BQ30" s="282"/>
      <c r="BR30" s="282"/>
      <c r="BS30" s="282"/>
      <c r="BT30" s="282"/>
      <c r="BU30" s="282"/>
      <c r="BV30" s="282"/>
      <c r="BW30" s="282"/>
      <c r="BX30" s="282"/>
      <c r="BY30" s="282"/>
      <c r="BZ30" s="282"/>
      <c r="CA30" s="282"/>
      <c r="CB30" s="282"/>
      <c r="CC30" s="282"/>
      <c r="CD30" s="282"/>
      <c r="CE30" s="282"/>
      <c r="CF30" s="282"/>
      <c r="CG30" s="282"/>
      <c r="CH30" s="282"/>
      <c r="CI30" s="282"/>
      <c r="CJ30" s="282"/>
      <c r="CK30" s="282"/>
      <c r="CL30" s="282"/>
      <c r="CM30" s="282"/>
      <c r="CN30" s="282"/>
      <c r="CO30" s="282"/>
      <c r="CP30" s="282"/>
      <c r="CQ30" s="282"/>
      <c r="CR30" s="282"/>
      <c r="CS30" s="282"/>
      <c r="CT30" s="282"/>
      <c r="CU30" s="282"/>
      <c r="CV30" s="282"/>
      <c r="CW30" s="282"/>
      <c r="CX30" s="282"/>
      <c r="CY30" s="282"/>
      <c r="CZ30" s="282"/>
      <c r="DA30" s="282"/>
      <c r="DB30" s="282"/>
      <c r="DC30" s="282"/>
      <c r="DD30" s="282"/>
      <c r="DE30" s="282"/>
      <c r="DF30" s="282"/>
      <c r="DG30" s="282"/>
      <c r="DH30" s="282"/>
      <c r="DI30" s="282"/>
      <c r="DJ30" s="282"/>
      <c r="DK30" s="282"/>
      <c r="DL30" s="282"/>
      <c r="DM30" s="282"/>
      <c r="DN30" s="282"/>
      <c r="DO30" s="282"/>
      <c r="DP30" s="282"/>
      <c r="DQ30" s="282"/>
      <c r="DR30" s="282"/>
      <c r="DS30" s="282"/>
      <c r="DT30" s="282"/>
      <c r="DU30" s="282"/>
      <c r="DV30" s="282"/>
      <c r="DW30" s="282"/>
      <c r="DX30" s="282"/>
      <c r="DY30" s="282"/>
      <c r="DZ30" s="282"/>
      <c r="EA30" s="282"/>
      <c r="EB30" s="282"/>
      <c r="EC30" s="282"/>
      <c r="ED30" s="282"/>
      <c r="EE30" s="282"/>
      <c r="EF30" s="282"/>
      <c r="EG30" s="282"/>
    </row>
    <row r="31" spans="1:137" x14ac:dyDescent="0.25">
      <c r="A31" s="309"/>
      <c r="B31" s="282"/>
      <c r="C31" s="282" t="s">
        <v>319</v>
      </c>
      <c r="D31" s="293"/>
      <c r="E31" s="180">
        <v>4723289000</v>
      </c>
      <c r="F31" s="180">
        <v>4400845000</v>
      </c>
      <c r="G31" s="180">
        <v>3676558000</v>
      </c>
      <c r="H31" s="180">
        <v>2710497000</v>
      </c>
      <c r="I31" s="282"/>
      <c r="J31" s="282" t="s">
        <v>320</v>
      </c>
      <c r="K31" s="304">
        <f>+D42/D27</f>
        <v>9.7982328805297416E-3</v>
      </c>
      <c r="L31" s="304">
        <f t="shared" ref="L31:O31" si="9">+E42/E27</f>
        <v>1.1720449359765132E-2</v>
      </c>
      <c r="M31" s="304">
        <f t="shared" si="9"/>
        <v>1.1548328606449974E-2</v>
      </c>
      <c r="N31" s="304">
        <f t="shared" si="9"/>
        <v>1.1067198306450256E-2</v>
      </c>
      <c r="O31" s="304">
        <f t="shared" si="9"/>
        <v>1.0682638863400996E-2</v>
      </c>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c r="AZ31" s="282"/>
      <c r="BA31" s="282"/>
      <c r="BB31" s="282"/>
      <c r="BC31" s="282"/>
      <c r="BD31" s="282"/>
      <c r="BE31" s="282"/>
      <c r="BF31" s="282"/>
      <c r="BG31" s="282"/>
      <c r="BH31" s="282"/>
      <c r="BI31" s="282"/>
      <c r="BJ31" s="282"/>
      <c r="BK31" s="282"/>
      <c r="BL31" s="282"/>
      <c r="BM31" s="282"/>
      <c r="BN31" s="282"/>
      <c r="BO31" s="282"/>
      <c r="BP31" s="282"/>
      <c r="BQ31" s="282"/>
      <c r="BR31" s="282"/>
      <c r="BS31" s="282"/>
      <c r="BT31" s="282"/>
      <c r="BU31" s="282"/>
      <c r="BV31" s="282"/>
      <c r="BW31" s="282"/>
      <c r="BX31" s="282"/>
      <c r="BY31" s="282"/>
      <c r="BZ31" s="282"/>
      <c r="CA31" s="282"/>
      <c r="CB31" s="282"/>
      <c r="CC31" s="282"/>
      <c r="CD31" s="282"/>
      <c r="CE31" s="282"/>
      <c r="CF31" s="282"/>
      <c r="CG31" s="282"/>
      <c r="CH31" s="282"/>
      <c r="CI31" s="282"/>
      <c r="CJ31" s="282"/>
      <c r="CK31" s="282"/>
      <c r="CL31" s="282"/>
      <c r="CM31" s="282"/>
      <c r="CN31" s="282"/>
      <c r="CO31" s="282"/>
      <c r="CP31" s="282"/>
      <c r="CQ31" s="282"/>
      <c r="CR31" s="282"/>
      <c r="CS31" s="282"/>
      <c r="CT31" s="282"/>
      <c r="CU31" s="282"/>
      <c r="CV31" s="282"/>
      <c r="CW31" s="282"/>
      <c r="CX31" s="282"/>
      <c r="CY31" s="282"/>
      <c r="CZ31" s="282"/>
      <c r="DA31" s="282"/>
      <c r="DB31" s="282"/>
      <c r="DC31" s="282"/>
      <c r="DD31" s="282"/>
      <c r="DE31" s="282"/>
      <c r="DF31" s="282"/>
      <c r="DG31" s="282"/>
      <c r="DH31" s="282"/>
      <c r="DI31" s="282"/>
      <c r="DJ31" s="282"/>
      <c r="DK31" s="282"/>
      <c r="DL31" s="282"/>
      <c r="DM31" s="282"/>
      <c r="DN31" s="282"/>
      <c r="DO31" s="282"/>
      <c r="DP31" s="282"/>
      <c r="DQ31" s="282"/>
      <c r="DR31" s="282"/>
      <c r="DS31" s="282"/>
      <c r="DT31" s="282"/>
      <c r="DU31" s="282"/>
      <c r="DV31" s="282"/>
      <c r="DW31" s="282"/>
      <c r="DX31" s="282"/>
      <c r="DY31" s="282"/>
      <c r="DZ31" s="282"/>
      <c r="EA31" s="282"/>
      <c r="EB31" s="282"/>
      <c r="EC31" s="282"/>
      <c r="ED31" s="282"/>
      <c r="EE31" s="282"/>
      <c r="EF31" s="282"/>
      <c r="EG31" s="282"/>
    </row>
    <row r="32" spans="1:137" x14ac:dyDescent="0.25">
      <c r="A32" s="309"/>
      <c r="B32" s="282"/>
      <c r="C32" s="282" t="s">
        <v>321</v>
      </c>
      <c r="D32" s="282"/>
      <c r="E32" s="180">
        <v>330491913000</v>
      </c>
      <c r="F32" s="180">
        <v>324968388000</v>
      </c>
      <c r="G32" s="180">
        <v>276001453000</v>
      </c>
      <c r="H32" s="180">
        <v>249201829000</v>
      </c>
      <c r="I32" s="282"/>
      <c r="J32" s="282" t="s">
        <v>322</v>
      </c>
      <c r="K32" s="304">
        <f>+D42/(D27+D36)</f>
        <v>9.3867923047504815E-3</v>
      </c>
      <c r="L32" s="304">
        <f t="shared" ref="L32:O32" si="10">+E42/(E27+E36)</f>
        <v>1.1325392872724381E-2</v>
      </c>
      <c r="M32" s="304">
        <f t="shared" si="10"/>
        <v>1.1221466702382396E-2</v>
      </c>
      <c r="N32" s="304">
        <f t="shared" si="10"/>
        <v>1.0437583252890081E-2</v>
      </c>
      <c r="O32" s="304">
        <f t="shared" si="10"/>
        <v>9.9534011395666193E-3</v>
      </c>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2"/>
      <c r="AM32" s="282"/>
      <c r="AN32" s="282"/>
      <c r="AO32" s="282"/>
      <c r="AP32" s="282"/>
      <c r="AQ32" s="179"/>
      <c r="AR32" s="186"/>
      <c r="AS32" s="186"/>
      <c r="AT32" s="186"/>
      <c r="AU32" s="186"/>
      <c r="AV32" s="179"/>
      <c r="AW32" s="186"/>
      <c r="AX32" s="186"/>
      <c r="AY32" s="186"/>
      <c r="AZ32" s="186"/>
      <c r="BA32" s="179"/>
      <c r="BB32" s="186"/>
      <c r="BC32" s="186"/>
      <c r="BD32" s="186"/>
      <c r="BE32" s="186"/>
      <c r="BF32" s="179"/>
      <c r="BG32" s="186"/>
      <c r="BH32" s="186"/>
      <c r="BI32" s="186"/>
      <c r="BJ32" s="186"/>
      <c r="BK32" s="179"/>
      <c r="BL32" s="186"/>
      <c r="BM32" s="186"/>
      <c r="BN32" s="186"/>
      <c r="BO32" s="186"/>
      <c r="BP32" s="179"/>
      <c r="BQ32" s="186"/>
      <c r="BR32" s="186"/>
      <c r="BS32" s="186"/>
      <c r="BT32" s="186"/>
      <c r="BU32" s="179"/>
      <c r="BV32" s="186"/>
      <c r="BW32" s="186"/>
      <c r="BX32" s="186"/>
      <c r="BY32" s="186"/>
      <c r="BZ32" s="179"/>
      <c r="CA32" s="186"/>
      <c r="CB32" s="186"/>
      <c r="CC32" s="186"/>
      <c r="CD32" s="186"/>
      <c r="CE32" s="179"/>
      <c r="CF32" s="186"/>
      <c r="CG32" s="186"/>
      <c r="CH32" s="186"/>
      <c r="CI32" s="186"/>
      <c r="CJ32" s="179"/>
      <c r="CK32" s="186"/>
      <c r="CL32" s="186"/>
      <c r="CM32" s="186"/>
      <c r="CN32" s="186"/>
      <c r="CO32" s="179"/>
      <c r="CP32" s="186"/>
      <c r="CQ32" s="186"/>
      <c r="CR32" s="186"/>
      <c r="CS32" s="186"/>
      <c r="CT32" s="179"/>
      <c r="CU32" s="186"/>
      <c r="CV32" s="186"/>
      <c r="CW32" s="186"/>
      <c r="CX32" s="186"/>
      <c r="CY32" s="179"/>
      <c r="CZ32" s="186"/>
      <c r="DA32" s="186"/>
      <c r="DB32" s="186"/>
      <c r="DC32" s="186"/>
      <c r="DD32" s="179"/>
      <c r="DE32" s="186"/>
      <c r="DF32" s="186"/>
      <c r="DG32" s="186"/>
      <c r="DH32" s="186"/>
      <c r="DI32" s="179"/>
      <c r="DJ32" s="186"/>
      <c r="DK32" s="186"/>
      <c r="DL32" s="186"/>
      <c r="DM32" s="186"/>
      <c r="DN32" s="179"/>
      <c r="DO32" s="186"/>
      <c r="DP32" s="186"/>
      <c r="DQ32" s="186"/>
      <c r="DR32" s="186"/>
      <c r="DS32" s="179"/>
      <c r="DT32" s="187"/>
      <c r="DU32" s="187"/>
      <c r="DV32" s="187"/>
      <c r="DW32" s="187"/>
      <c r="DX32" s="179"/>
      <c r="DY32" s="187"/>
      <c r="DZ32" s="187"/>
      <c r="EA32" s="187"/>
      <c r="EB32" s="187"/>
      <c r="EC32" s="179"/>
      <c r="ED32" s="187"/>
      <c r="EE32" s="187"/>
      <c r="EF32" s="187"/>
      <c r="EG32" s="187"/>
    </row>
    <row r="33" spans="1:15" x14ac:dyDescent="0.25">
      <c r="A33" s="282"/>
      <c r="B33" s="282"/>
      <c r="C33" s="282" t="s">
        <v>323</v>
      </c>
      <c r="D33" s="293"/>
      <c r="E33" s="180">
        <v>120217105000</v>
      </c>
      <c r="F33" s="180">
        <v>140125729000</v>
      </c>
      <c r="G33" s="180">
        <v>130046052000</v>
      </c>
      <c r="H33" s="180">
        <v>122611228000</v>
      </c>
      <c r="I33" s="282"/>
      <c r="J33" s="282" t="s">
        <v>324</v>
      </c>
      <c r="K33" s="304">
        <f>+D26/D25</f>
        <v>0.21374773222642643</v>
      </c>
      <c r="L33" s="304">
        <f t="shared" ref="L33:O33" si="11">+E26/E25</f>
        <v>0.20229634847079656</v>
      </c>
      <c r="M33" s="304">
        <f t="shared" si="11"/>
        <v>0.20889782234850068</v>
      </c>
      <c r="N33" s="304">
        <f t="shared" si="11"/>
        <v>0.28531455769945663</v>
      </c>
      <c r="O33" s="304">
        <f t="shared" si="11"/>
        <v>0.27043374576274154</v>
      </c>
    </row>
    <row r="34" spans="1:15" x14ac:dyDescent="0.25">
      <c r="A34" s="282"/>
      <c r="B34" s="282"/>
      <c r="C34" s="282" t="s">
        <v>325</v>
      </c>
      <c r="D34" s="293"/>
      <c r="E34" s="180">
        <v>361076963000</v>
      </c>
      <c r="F34" s="180">
        <v>350999072000</v>
      </c>
      <c r="G34" s="180">
        <v>310833821000</v>
      </c>
      <c r="H34" s="180">
        <v>285057748000</v>
      </c>
      <c r="I34" s="282"/>
      <c r="J34" s="282"/>
      <c r="K34" s="303"/>
      <c r="L34" s="303"/>
      <c r="M34" s="303"/>
      <c r="N34" s="303"/>
      <c r="O34" s="303"/>
    </row>
    <row r="35" spans="1:15" x14ac:dyDescent="0.25">
      <c r="A35" s="309"/>
      <c r="B35" s="282"/>
      <c r="C35" s="282" t="s">
        <v>326</v>
      </c>
      <c r="D35" s="185">
        <v>353074741000</v>
      </c>
      <c r="E35" s="180">
        <v>330372446000</v>
      </c>
      <c r="F35" s="180">
        <v>324848921000</v>
      </c>
      <c r="G35" s="180">
        <v>275881986000</v>
      </c>
      <c r="H35" s="180">
        <v>249082362000</v>
      </c>
      <c r="I35" s="282"/>
      <c r="J35" s="282" t="s">
        <v>327</v>
      </c>
      <c r="K35" s="308">
        <f>+D21/D19</f>
        <v>44.910041211902836</v>
      </c>
      <c r="L35" s="308">
        <f t="shared" ref="L35:O35" si="12">+E21/E19</f>
        <v>12.831474878339549</v>
      </c>
      <c r="M35" s="308">
        <f t="shared" si="12"/>
        <v>61.864431236607409</v>
      </c>
      <c r="N35" s="308">
        <f t="shared" si="12"/>
        <v>124.63124391713399</v>
      </c>
      <c r="O35" s="308">
        <f t="shared" si="12"/>
        <v>63.340148504407274</v>
      </c>
    </row>
    <row r="36" spans="1:15" x14ac:dyDescent="0.25">
      <c r="A36" s="309"/>
      <c r="B36" s="282"/>
      <c r="C36" s="282" t="s">
        <v>47</v>
      </c>
      <c r="D36" s="185">
        <v>16931875000</v>
      </c>
      <c r="E36" s="180">
        <v>12685944000</v>
      </c>
      <c r="F36" s="180">
        <v>10333242000</v>
      </c>
      <c r="G36" s="180">
        <v>18392149000</v>
      </c>
      <c r="H36" s="180">
        <v>20217381000</v>
      </c>
      <c r="I36" s="282"/>
      <c r="J36" s="282" t="s">
        <v>328</v>
      </c>
      <c r="K36" s="308">
        <f>+D22/D19</f>
        <v>99.176531603078104</v>
      </c>
      <c r="L36" s="308">
        <f t="shared" ref="L36:O36" si="13">+E22/E19</f>
        <v>54.397112398455043</v>
      </c>
      <c r="M36" s="308">
        <f t="shared" si="13"/>
        <v>113.11854681755929</v>
      </c>
      <c r="N36" s="308">
        <f t="shared" si="13"/>
        <v>203.99204708717616</v>
      </c>
      <c r="O36" s="308">
        <f t="shared" si="13"/>
        <v>115.37263491551646</v>
      </c>
    </row>
    <row r="37" spans="1:15" x14ac:dyDescent="0.25">
      <c r="A37" s="309"/>
      <c r="B37" s="282"/>
      <c r="C37" s="282" t="s">
        <v>329</v>
      </c>
      <c r="D37" s="183">
        <v>5969782.5499999998</v>
      </c>
      <c r="E37" s="183">
        <v>5969782.5499999998</v>
      </c>
      <c r="F37" s="183">
        <v>5969782.5499999998</v>
      </c>
      <c r="G37" s="183">
        <v>5969782.5499999998</v>
      </c>
      <c r="H37" s="183">
        <v>5969782.5499999998</v>
      </c>
      <c r="I37" s="282"/>
      <c r="J37" s="282" t="s">
        <v>330</v>
      </c>
      <c r="K37" s="308">
        <f>+(D22+D55)/D19</f>
        <v>27.793560292444219</v>
      </c>
      <c r="L37" s="310" t="s">
        <v>121</v>
      </c>
      <c r="M37" s="308">
        <f>+(F22+F55)/F19</f>
        <v>43.491171208953951</v>
      </c>
      <c r="N37" s="308">
        <f>+(G22+G55)/G19</f>
        <v>88.524139129628765</v>
      </c>
      <c r="O37" s="308">
        <f>+(H22+H55)/H19</f>
        <v>46.297308979388113</v>
      </c>
    </row>
    <row r="38" spans="1:15" x14ac:dyDescent="0.25">
      <c r="A38" s="309"/>
      <c r="B38" s="282"/>
      <c r="C38" s="282" t="s">
        <v>331</v>
      </c>
      <c r="D38" s="183">
        <v>5969782.5499999998</v>
      </c>
      <c r="E38" s="183">
        <v>5969782.5499999998</v>
      </c>
      <c r="F38" s="183">
        <v>5969782.5499999998</v>
      </c>
      <c r="G38" s="183">
        <v>5969782.5499999998</v>
      </c>
      <c r="H38" s="183">
        <v>5969782.5499999998</v>
      </c>
      <c r="I38" s="282"/>
      <c r="J38" s="282"/>
      <c r="K38" s="303"/>
      <c r="L38" s="303"/>
      <c r="M38" s="303"/>
      <c r="N38" s="303"/>
      <c r="O38" s="303"/>
    </row>
    <row r="39" spans="1:15" x14ac:dyDescent="0.25">
      <c r="A39" s="282"/>
      <c r="B39" s="282"/>
      <c r="C39" s="282" t="s">
        <v>332</v>
      </c>
      <c r="D39" s="183">
        <v>822886.7</v>
      </c>
      <c r="E39" s="183">
        <v>822886.7</v>
      </c>
      <c r="F39" s="183">
        <v>822886.7</v>
      </c>
      <c r="G39" s="183">
        <v>822886.7</v>
      </c>
      <c r="H39" s="183">
        <v>822886.7</v>
      </c>
      <c r="I39" s="282"/>
      <c r="J39" s="282" t="s">
        <v>333</v>
      </c>
      <c r="K39" s="308">
        <f>+D36/D22</f>
        <v>0.22616156130421383</v>
      </c>
      <c r="L39" s="308">
        <f>+E36/E22</f>
        <v>0.25069511089216967</v>
      </c>
      <c r="M39" s="308">
        <f>+F36/F22</f>
        <v>0.11972082679284951</v>
      </c>
      <c r="N39" s="308">
        <f>+G36/G22</f>
        <v>0.20892873906484108</v>
      </c>
      <c r="O39" s="308">
        <f>+H36/H22</f>
        <v>0.30056876404118199</v>
      </c>
    </row>
    <row r="40" spans="1:15" x14ac:dyDescent="0.25">
      <c r="A40" s="282"/>
      <c r="B40" s="282"/>
      <c r="C40" s="282" t="s">
        <v>334</v>
      </c>
      <c r="D40" s="180">
        <v>219235111000</v>
      </c>
      <c r="E40" s="180">
        <v>195936557000</v>
      </c>
      <c r="F40" s="180">
        <v>218470581000</v>
      </c>
      <c r="G40" s="180">
        <v>218163185000</v>
      </c>
      <c r="H40" s="180">
        <v>198215579000</v>
      </c>
      <c r="I40" s="282"/>
      <c r="J40" s="282" t="s">
        <v>335</v>
      </c>
      <c r="K40" s="308">
        <f>+D36/(D22+D55)</f>
        <v>0.80701856818921136</v>
      </c>
      <c r="L40" s="308" t="s">
        <v>121</v>
      </c>
      <c r="M40" s="308">
        <f>+F36/(F22+F55)</f>
        <v>0.31138839387741524</v>
      </c>
      <c r="N40" s="308">
        <f>+G36/(G22+G55)</f>
        <v>0.4814483551742858</v>
      </c>
      <c r="O40" s="308">
        <f>+H36/(H22+H55)</f>
        <v>0.74901567812872094</v>
      </c>
    </row>
    <row r="41" spans="1:15" x14ac:dyDescent="0.25">
      <c r="A41" s="282"/>
      <c r="B41" s="282"/>
      <c r="C41" s="282" t="s">
        <v>336</v>
      </c>
      <c r="D41" s="180">
        <v>87031889000</v>
      </c>
      <c r="E41" s="180">
        <v>75719452000</v>
      </c>
      <c r="F41" s="180">
        <v>78344852000</v>
      </c>
      <c r="G41" s="180">
        <v>88117133000</v>
      </c>
      <c r="H41" s="180">
        <v>75604351000</v>
      </c>
      <c r="I41" s="282"/>
      <c r="J41" s="282"/>
      <c r="K41" s="303"/>
      <c r="L41" s="188"/>
      <c r="M41" s="303"/>
      <c r="N41" s="303"/>
      <c r="O41" s="303"/>
    </row>
    <row r="42" spans="1:15" x14ac:dyDescent="0.25">
      <c r="A42" s="282"/>
      <c r="B42" s="282"/>
      <c r="C42" s="282" t="s">
        <v>337</v>
      </c>
      <c r="D42" s="180">
        <f>26366000+3758608000</f>
        <v>3784974000</v>
      </c>
      <c r="E42" s="180">
        <v>4262468000</v>
      </c>
      <c r="F42" s="180">
        <v>4096765000</v>
      </c>
      <c r="G42" s="180">
        <v>3374388000</v>
      </c>
      <c r="H42" s="180">
        <v>2947853000</v>
      </c>
      <c r="I42" s="282"/>
      <c r="J42" s="282"/>
      <c r="K42" s="303"/>
      <c r="L42" s="188"/>
      <c r="M42" s="303"/>
      <c r="N42" s="303"/>
      <c r="O42" s="303"/>
    </row>
    <row r="43" spans="1:15" x14ac:dyDescent="0.25">
      <c r="A43" s="282"/>
      <c r="B43" s="282"/>
      <c r="C43" s="282"/>
      <c r="D43" s="180"/>
      <c r="E43" s="180"/>
      <c r="F43" s="180"/>
      <c r="G43" s="180"/>
      <c r="H43" s="180"/>
      <c r="I43" s="282"/>
      <c r="J43" s="282"/>
      <c r="K43" s="303"/>
      <c r="L43" s="188"/>
      <c r="M43" s="303"/>
      <c r="N43" s="303"/>
      <c r="O43" s="303"/>
    </row>
    <row r="44" spans="1:15" x14ac:dyDescent="0.25">
      <c r="A44" s="282"/>
      <c r="B44" s="282"/>
      <c r="C44" s="186"/>
      <c r="D44" s="282"/>
      <c r="E44" s="282"/>
      <c r="F44" s="282"/>
      <c r="G44" s="282"/>
      <c r="H44" s="282"/>
      <c r="I44" s="282"/>
      <c r="J44" s="282"/>
      <c r="K44" s="303"/>
      <c r="L44" s="303"/>
      <c r="M44" s="303"/>
      <c r="N44" s="303"/>
      <c r="O44" s="303"/>
    </row>
    <row r="45" spans="1:15" x14ac:dyDescent="0.25">
      <c r="A45" s="309"/>
      <c r="B45" s="179"/>
      <c r="C45" s="174" t="s">
        <v>338</v>
      </c>
      <c r="D45" s="174" t="s">
        <v>268</v>
      </c>
      <c r="E45" s="175">
        <v>45291</v>
      </c>
      <c r="F45" s="175">
        <v>44926</v>
      </c>
      <c r="G45" s="175">
        <v>44561</v>
      </c>
      <c r="H45" s="175">
        <v>44196</v>
      </c>
      <c r="I45" s="282"/>
      <c r="J45" s="282"/>
      <c r="K45" s="303"/>
      <c r="L45" s="303"/>
      <c r="M45" s="303"/>
      <c r="N45" s="303"/>
      <c r="O45" s="303"/>
    </row>
    <row r="46" spans="1:15" x14ac:dyDescent="0.25">
      <c r="A46" s="309"/>
      <c r="B46" s="179"/>
      <c r="C46" s="179" t="s">
        <v>339</v>
      </c>
      <c r="D46" s="180">
        <v>70905579000</v>
      </c>
      <c r="E46" s="180">
        <v>44137427000</v>
      </c>
      <c r="F46" s="180">
        <v>62181346000</v>
      </c>
      <c r="G46" s="180">
        <v>65105448000</v>
      </c>
      <c r="H46" s="180">
        <v>65287009000</v>
      </c>
      <c r="I46" s="282"/>
      <c r="J46" s="282"/>
      <c r="K46" s="303"/>
      <c r="L46" s="303"/>
      <c r="M46" s="303"/>
      <c r="N46" s="303"/>
      <c r="O46" s="303"/>
    </row>
    <row r="47" spans="1:15" x14ac:dyDescent="0.25">
      <c r="A47" s="309"/>
      <c r="B47" s="189"/>
      <c r="C47" s="179" t="s">
        <v>340</v>
      </c>
      <c r="D47" s="180">
        <v>-98035883000</v>
      </c>
      <c r="E47" s="180">
        <v>-16922817000</v>
      </c>
      <c r="F47" s="180">
        <v>-31602804000</v>
      </c>
      <c r="G47" s="180">
        <v>-33047763000</v>
      </c>
      <c r="H47" s="180">
        <v>-53628591000</v>
      </c>
      <c r="I47" s="282"/>
      <c r="J47" s="282"/>
      <c r="K47" s="303"/>
      <c r="L47" s="303"/>
      <c r="M47" s="303"/>
      <c r="N47" s="303"/>
      <c r="O47" s="303"/>
    </row>
    <row r="48" spans="1:15" x14ac:dyDescent="0.25">
      <c r="A48" s="309"/>
      <c r="B48" s="189"/>
      <c r="C48" s="179" t="s">
        <v>341</v>
      </c>
      <c r="D48" s="180">
        <v>-4890780000</v>
      </c>
      <c r="E48" s="180">
        <v>-8593059000</v>
      </c>
      <c r="F48" s="180">
        <v>-19390049000</v>
      </c>
      <c r="G48" s="180">
        <v>-23991033000</v>
      </c>
      <c r="H48" s="180">
        <v>-8327839000</v>
      </c>
      <c r="I48" s="282"/>
      <c r="J48" s="282"/>
      <c r="K48" s="303"/>
      <c r="L48" s="303"/>
      <c r="M48" s="303"/>
      <c r="N48" s="303"/>
      <c r="O48" s="303"/>
    </row>
    <row r="49" spans="1:8" x14ac:dyDescent="0.25">
      <c r="A49" s="282"/>
      <c r="B49" s="189"/>
      <c r="C49" s="179" t="s">
        <v>342</v>
      </c>
      <c r="D49" s="190" t="s">
        <v>121</v>
      </c>
      <c r="E49" s="180">
        <v>-14153000</v>
      </c>
      <c r="F49" s="190" t="s">
        <v>121</v>
      </c>
      <c r="G49" s="180">
        <v>139000</v>
      </c>
      <c r="H49" s="180">
        <v>-139000</v>
      </c>
    </row>
    <row r="50" spans="1:8" x14ac:dyDescent="0.25">
      <c r="A50" s="309"/>
      <c r="B50" s="189"/>
      <c r="C50" s="179" t="s">
        <v>343</v>
      </c>
      <c r="D50" s="180">
        <v>43109047000</v>
      </c>
      <c r="E50" s="180">
        <v>69080893000</v>
      </c>
      <c r="F50" s="180">
        <v>49680710000</v>
      </c>
      <c r="G50" s="180">
        <v>39031415000</v>
      </c>
      <c r="H50" s="180">
        <v>29382578000</v>
      </c>
    </row>
    <row r="51" spans="1:8" x14ac:dyDescent="0.25">
      <c r="A51" s="309"/>
      <c r="B51" s="179"/>
      <c r="C51" s="179" t="s">
        <v>344</v>
      </c>
      <c r="D51" s="180">
        <v>-32035237000</v>
      </c>
      <c r="E51" s="180">
        <v>18607398000</v>
      </c>
      <c r="F51" s="180">
        <v>11188493000</v>
      </c>
      <c r="G51" s="180">
        <v>8066791000</v>
      </c>
      <c r="H51" s="180">
        <v>3330440000</v>
      </c>
    </row>
    <row r="52" spans="1:8" x14ac:dyDescent="0.25">
      <c r="A52" s="309"/>
      <c r="B52" s="186"/>
      <c r="C52" s="179" t="s">
        <v>345</v>
      </c>
      <c r="D52" s="180">
        <v>22312000</v>
      </c>
      <c r="E52" s="180">
        <v>792785000</v>
      </c>
      <c r="F52" s="180">
        <v>-539198000</v>
      </c>
      <c r="G52" s="180">
        <v>1582046000</v>
      </c>
      <c r="H52" s="180">
        <v>-833861000</v>
      </c>
    </row>
    <row r="53" spans="1:8" x14ac:dyDescent="0.25">
      <c r="A53" s="309"/>
      <c r="B53" s="186"/>
      <c r="C53" s="179" t="s">
        <v>346</v>
      </c>
      <c r="D53" s="180">
        <v>75144284000</v>
      </c>
      <c r="E53" s="180">
        <v>49680710000</v>
      </c>
      <c r="F53" s="180">
        <v>39031415000</v>
      </c>
      <c r="G53" s="180">
        <v>29382578000</v>
      </c>
      <c r="H53" s="180">
        <v>26885999000</v>
      </c>
    </row>
    <row r="54" spans="1:8" x14ac:dyDescent="0.25">
      <c r="A54" s="282"/>
      <c r="B54" s="186"/>
      <c r="C54" s="179" t="s">
        <v>347</v>
      </c>
      <c r="D54" s="190" t="s">
        <v>121</v>
      </c>
      <c r="E54" s="190" t="s">
        <v>121</v>
      </c>
      <c r="F54" s="190" t="s">
        <v>121</v>
      </c>
      <c r="G54" s="190" t="s">
        <v>121</v>
      </c>
      <c r="H54" s="180">
        <v>-139000</v>
      </c>
    </row>
    <row r="55" spans="1:8" x14ac:dyDescent="0.25">
      <c r="A55" s="309"/>
      <c r="B55" s="186"/>
      <c r="C55" s="179" t="s">
        <v>348</v>
      </c>
      <c r="D55" s="180">
        <v>-53885506000</v>
      </c>
      <c r="E55" s="180">
        <v>-60534167000</v>
      </c>
      <c r="F55" s="180">
        <v>-53126732000</v>
      </c>
      <c r="G55" s="180">
        <v>-49829021000</v>
      </c>
      <c r="H55" s="180">
        <v>-40271813000</v>
      </c>
    </row>
    <row r="56" spans="1:8" x14ac:dyDescent="0.25">
      <c r="A56" s="309"/>
      <c r="B56" s="186"/>
      <c r="C56" s="179" t="s">
        <v>349</v>
      </c>
      <c r="D56" s="180">
        <v>6694132000</v>
      </c>
      <c r="E56" s="180">
        <v>2500112000</v>
      </c>
      <c r="F56" s="180">
        <v>271997000</v>
      </c>
      <c r="G56" s="180">
        <v>58279000</v>
      </c>
      <c r="H56" s="180">
        <v>2205681000</v>
      </c>
    </row>
    <row r="57" spans="1:8" x14ac:dyDescent="0.25">
      <c r="A57" s="309"/>
      <c r="B57" s="179"/>
      <c r="C57" s="179" t="s">
        <v>350</v>
      </c>
      <c r="D57" s="180">
        <v>-649731000</v>
      </c>
      <c r="E57" s="180">
        <v>-1219579000</v>
      </c>
      <c r="F57" s="180">
        <v>-9847614000</v>
      </c>
      <c r="G57" s="180">
        <v>-3511692000</v>
      </c>
      <c r="H57" s="180">
        <v>-864947000</v>
      </c>
    </row>
    <row r="58" spans="1:8" x14ac:dyDescent="0.25">
      <c r="A58" s="309"/>
      <c r="B58" s="186"/>
      <c r="C58" s="179" t="s">
        <v>351</v>
      </c>
      <c r="D58" s="180">
        <v>17020073000</v>
      </c>
      <c r="E58" s="180">
        <v>-16396740000</v>
      </c>
      <c r="F58" s="180">
        <v>9054614000</v>
      </c>
      <c r="G58" s="180">
        <v>15276427000</v>
      </c>
      <c r="H58" s="180">
        <v>25015196000</v>
      </c>
    </row>
    <row r="59" spans="1:8" x14ac:dyDescent="0.25">
      <c r="A59" s="282"/>
      <c r="B59" s="186"/>
      <c r="C59" s="282"/>
      <c r="D59" s="282"/>
      <c r="E59" s="282"/>
      <c r="F59" s="282"/>
      <c r="G59" s="282"/>
      <c r="H59" s="282"/>
    </row>
    <row r="60" spans="1:8" x14ac:dyDescent="0.25">
      <c r="A60" s="309"/>
      <c r="B60" s="186"/>
      <c r="C60" s="184" t="s">
        <v>352</v>
      </c>
      <c r="D60" s="174" t="s">
        <v>268</v>
      </c>
      <c r="E60" s="175">
        <v>45291</v>
      </c>
      <c r="F60" s="175">
        <v>44926</v>
      </c>
      <c r="G60" s="175">
        <v>44561</v>
      </c>
      <c r="H60" s="175">
        <v>44196</v>
      </c>
    </row>
    <row r="61" spans="1:8" x14ac:dyDescent="0.25">
      <c r="A61" s="309"/>
      <c r="B61" s="186"/>
      <c r="C61" s="282" t="s">
        <v>353</v>
      </c>
      <c r="D61" s="182">
        <v>298429243</v>
      </c>
      <c r="E61" s="182">
        <v>419923073</v>
      </c>
      <c r="F61" s="182">
        <v>320144043</v>
      </c>
      <c r="G61" s="182">
        <v>399817393</v>
      </c>
      <c r="H61" s="182">
        <v>457371434</v>
      </c>
    </row>
    <row r="62" spans="1:8" x14ac:dyDescent="0.25">
      <c r="A62" s="309"/>
      <c r="B62" s="186"/>
      <c r="C62" s="282" t="s">
        <v>354</v>
      </c>
      <c r="D62" s="182">
        <v>103776528</v>
      </c>
      <c r="E62" s="182">
        <v>92407210</v>
      </c>
      <c r="F62" s="182">
        <v>115227286</v>
      </c>
      <c r="G62" s="182">
        <v>124150192</v>
      </c>
      <c r="H62" s="182">
        <v>124652843</v>
      </c>
    </row>
    <row r="63" spans="1:8" x14ac:dyDescent="0.25">
      <c r="A63" s="309"/>
      <c r="B63" s="179"/>
      <c r="C63" s="282" t="s">
        <v>47</v>
      </c>
      <c r="D63" s="182">
        <v>16931875</v>
      </c>
      <c r="E63" s="309">
        <f>+E36/1000</f>
        <v>12685944</v>
      </c>
      <c r="F63" s="309">
        <f t="shared" ref="F63:H63" si="14">+F36/1000</f>
        <v>10333242</v>
      </c>
      <c r="G63" s="309">
        <f t="shared" si="14"/>
        <v>18392149</v>
      </c>
      <c r="H63" s="309">
        <f t="shared" si="14"/>
        <v>20217381</v>
      </c>
    </row>
    <row r="64" spans="1:8" x14ac:dyDescent="0.25">
      <c r="A64" s="282"/>
      <c r="B64" s="186"/>
      <c r="C64" s="282" t="s">
        <v>355</v>
      </c>
      <c r="D64" s="182">
        <v>11946700</v>
      </c>
      <c r="E64" s="282">
        <f t="shared" ref="E64:H64" si="15">+E29</f>
        <v>119467000</v>
      </c>
      <c r="F64" s="282">
        <f t="shared" si="15"/>
        <v>119467000</v>
      </c>
      <c r="G64" s="282">
        <f t="shared" si="15"/>
        <v>119467000</v>
      </c>
      <c r="H64" s="282">
        <f t="shared" si="15"/>
        <v>119467000</v>
      </c>
    </row>
    <row r="65" spans="1:8" x14ac:dyDescent="0.25">
      <c r="A65" s="309"/>
      <c r="B65" s="186"/>
      <c r="C65" s="282" t="s">
        <v>117</v>
      </c>
      <c r="D65" s="182">
        <v>10129165</v>
      </c>
      <c r="E65" s="182">
        <v>10444090</v>
      </c>
      <c r="F65" s="182">
        <v>9563462</v>
      </c>
      <c r="G65" s="182">
        <v>8662234</v>
      </c>
      <c r="H65" s="182">
        <v>8277685</v>
      </c>
    </row>
    <row r="66" spans="1:8" x14ac:dyDescent="0.25">
      <c r="A66" s="309"/>
      <c r="B66" s="186"/>
      <c r="C66" s="282" t="s">
        <v>70</v>
      </c>
      <c r="D66" s="282">
        <f>+D61-D62+D63+D64+D65</f>
        <v>233660455</v>
      </c>
      <c r="E66" s="282">
        <f t="shared" ref="E66:H66" si="16">+E61-E62+E63+E64+E65</f>
        <v>470112897</v>
      </c>
      <c r="F66" s="282">
        <f t="shared" si="16"/>
        <v>344280461</v>
      </c>
      <c r="G66" s="282">
        <f t="shared" si="16"/>
        <v>422188584</v>
      </c>
      <c r="H66" s="282">
        <f t="shared" si="16"/>
        <v>480680657</v>
      </c>
    </row>
    <row r="67" spans="1:8" x14ac:dyDescent="0.25">
      <c r="A67" s="309"/>
      <c r="B67" s="186"/>
      <c r="C67" s="282"/>
      <c r="D67" s="282"/>
      <c r="E67" s="282"/>
      <c r="F67" s="282"/>
      <c r="G67" s="282"/>
      <c r="H67" s="282"/>
    </row>
    <row r="68" spans="1:8" x14ac:dyDescent="0.25">
      <c r="A68" s="309"/>
      <c r="B68" s="186"/>
      <c r="C68" s="282"/>
      <c r="D68" s="282"/>
      <c r="E68" s="282"/>
      <c r="F68" s="282"/>
      <c r="G68" s="282"/>
      <c r="H68" s="282"/>
    </row>
    <row r="69" spans="1:8" x14ac:dyDescent="0.25">
      <c r="A69" s="282"/>
      <c r="B69" s="179"/>
      <c r="C69" s="282"/>
      <c r="D69" s="282"/>
      <c r="E69" s="282"/>
      <c r="F69" s="282"/>
      <c r="G69" s="282"/>
      <c r="H69" s="282"/>
    </row>
    <row r="70" spans="1:8" x14ac:dyDescent="0.25">
      <c r="A70" s="309"/>
      <c r="B70" s="191"/>
      <c r="C70" s="282"/>
      <c r="D70" s="282"/>
      <c r="E70" s="282"/>
      <c r="F70" s="282"/>
      <c r="G70" s="282"/>
      <c r="H70" s="282"/>
    </row>
    <row r="71" spans="1:8" x14ac:dyDescent="0.25">
      <c r="A71" s="309"/>
      <c r="B71" s="186"/>
      <c r="C71" s="282"/>
      <c r="D71" s="282"/>
      <c r="E71" s="282"/>
      <c r="F71" s="282"/>
      <c r="G71" s="282"/>
      <c r="H71" s="282"/>
    </row>
    <row r="72" spans="1:8" x14ac:dyDescent="0.25">
      <c r="A72" s="309"/>
      <c r="B72" s="191"/>
      <c r="C72" s="282"/>
      <c r="D72" s="282"/>
      <c r="E72" s="282"/>
      <c r="F72" s="282"/>
      <c r="G72" s="282"/>
      <c r="H72" s="282"/>
    </row>
    <row r="73" spans="1:8" x14ac:dyDescent="0.25">
      <c r="A73" s="309"/>
      <c r="B73" s="186"/>
      <c r="C73" s="282"/>
      <c r="D73" s="282"/>
      <c r="E73" s="282"/>
      <c r="F73" s="282"/>
      <c r="G73" s="282"/>
      <c r="H73" s="282"/>
    </row>
    <row r="74" spans="1:8" x14ac:dyDescent="0.25">
      <c r="A74" s="282"/>
      <c r="B74" s="186"/>
      <c r="C74" s="282"/>
      <c r="D74" s="282"/>
      <c r="E74" s="282"/>
      <c r="F74" s="282"/>
      <c r="G74" s="282"/>
      <c r="H74" s="282"/>
    </row>
    <row r="75" spans="1:8" x14ac:dyDescent="0.25">
      <c r="A75" s="309"/>
      <c r="B75" s="179"/>
      <c r="C75" s="282"/>
      <c r="D75" s="282"/>
      <c r="E75" s="282"/>
      <c r="F75" s="282"/>
      <c r="G75" s="282"/>
      <c r="H75" s="282"/>
    </row>
    <row r="76" spans="1:8" x14ac:dyDescent="0.25">
      <c r="A76" s="309"/>
      <c r="B76" s="186"/>
      <c r="C76" s="282"/>
      <c r="D76" s="282"/>
      <c r="E76" s="282"/>
      <c r="F76" s="282"/>
      <c r="G76" s="282"/>
      <c r="H76" s="282"/>
    </row>
    <row r="77" spans="1:8" x14ac:dyDescent="0.25">
      <c r="A77" s="309"/>
      <c r="B77" s="186"/>
      <c r="C77" s="282"/>
      <c r="D77" s="282"/>
      <c r="E77" s="282"/>
      <c r="F77" s="282"/>
      <c r="G77" s="282"/>
      <c r="H77" s="282"/>
    </row>
    <row r="78" spans="1:8" x14ac:dyDescent="0.25">
      <c r="A78" s="309"/>
      <c r="B78" s="186"/>
      <c r="C78" s="282"/>
      <c r="D78" s="282"/>
      <c r="E78" s="282"/>
      <c r="F78" s="282"/>
      <c r="G78" s="282"/>
      <c r="H78" s="282"/>
    </row>
    <row r="79" spans="1:8" x14ac:dyDescent="0.25">
      <c r="A79" s="282"/>
      <c r="B79" s="186"/>
      <c r="C79" s="282"/>
      <c r="D79" s="282"/>
      <c r="E79" s="282"/>
      <c r="F79" s="282"/>
      <c r="G79" s="282"/>
      <c r="H79" s="282"/>
    </row>
    <row r="80" spans="1:8" x14ac:dyDescent="0.25">
      <c r="A80" s="309"/>
      <c r="B80" s="186"/>
      <c r="C80" s="282"/>
      <c r="D80" s="282"/>
      <c r="E80" s="282"/>
      <c r="F80" s="282"/>
      <c r="G80" s="282"/>
      <c r="H80" s="282"/>
    </row>
    <row r="81" spans="1:2" x14ac:dyDescent="0.25">
      <c r="A81" s="309"/>
      <c r="B81" s="179"/>
    </row>
    <row r="82" spans="1:2" x14ac:dyDescent="0.25">
      <c r="A82" s="309"/>
      <c r="B82" s="186"/>
    </row>
    <row r="83" spans="1:2" x14ac:dyDescent="0.25">
      <c r="A83" s="309"/>
      <c r="B83" s="186"/>
    </row>
    <row r="84" spans="1:2" x14ac:dyDescent="0.25">
      <c r="A84" s="282"/>
      <c r="B84" s="186"/>
    </row>
    <row r="85" spans="1:2" x14ac:dyDescent="0.25">
      <c r="A85" s="309"/>
      <c r="B85" s="186"/>
    </row>
    <row r="86" spans="1:2" x14ac:dyDescent="0.25">
      <c r="A86" s="309"/>
      <c r="B86" s="186"/>
    </row>
    <row r="87" spans="1:2" x14ac:dyDescent="0.25">
      <c r="A87" s="309"/>
      <c r="B87" s="179"/>
    </row>
    <row r="88" spans="1:2" x14ac:dyDescent="0.25">
      <c r="A88" s="309"/>
      <c r="B88" s="186"/>
    </row>
    <row r="89" spans="1:2" x14ac:dyDescent="0.25">
      <c r="A89" s="282"/>
      <c r="B89" s="186"/>
    </row>
    <row r="90" spans="1:2" x14ac:dyDescent="0.25">
      <c r="A90" s="309"/>
      <c r="B90" s="186"/>
    </row>
    <row r="91" spans="1:2" x14ac:dyDescent="0.25">
      <c r="A91" s="309"/>
      <c r="B91" s="186"/>
    </row>
    <row r="92" spans="1:2" x14ac:dyDescent="0.25">
      <c r="A92" s="309"/>
      <c r="B92" s="186"/>
    </row>
    <row r="93" spans="1:2" x14ac:dyDescent="0.25">
      <c r="A93" s="309"/>
      <c r="B93" s="179"/>
    </row>
    <row r="94" spans="1:2" x14ac:dyDescent="0.25">
      <c r="A94" s="282"/>
      <c r="B94" s="186"/>
    </row>
    <row r="95" spans="1:2" x14ac:dyDescent="0.25">
      <c r="A95" s="311"/>
      <c r="B95" s="186"/>
    </row>
    <row r="96" spans="1:2" x14ac:dyDescent="0.25">
      <c r="A96" s="311"/>
      <c r="B96" s="186"/>
    </row>
    <row r="97" spans="1:2" x14ac:dyDescent="0.25">
      <c r="A97" s="311"/>
      <c r="B97" s="186"/>
    </row>
    <row r="98" spans="1:2" x14ac:dyDescent="0.25">
      <c r="A98" s="311"/>
      <c r="B98" s="186"/>
    </row>
    <row r="99" spans="1:2" x14ac:dyDescent="0.25">
      <c r="A99" s="282"/>
      <c r="B99" s="179"/>
    </row>
    <row r="100" spans="1:2" x14ac:dyDescent="0.25">
      <c r="A100" s="311"/>
      <c r="B100" s="191"/>
    </row>
    <row r="101" spans="1:2" x14ac:dyDescent="0.25">
      <c r="A101" s="311"/>
      <c r="B101" s="191"/>
    </row>
    <row r="102" spans="1:2" x14ac:dyDescent="0.25">
      <c r="A102" s="311"/>
      <c r="B102" s="191"/>
    </row>
    <row r="103" spans="1:2" x14ac:dyDescent="0.25">
      <c r="A103" s="311"/>
      <c r="B103" s="191"/>
    </row>
    <row r="104" spans="1:2" x14ac:dyDescent="0.25">
      <c r="A104" s="282"/>
      <c r="B104" s="186"/>
    </row>
    <row r="105" spans="1:2" x14ac:dyDescent="0.25">
      <c r="A105" s="311"/>
      <c r="B105" s="179"/>
    </row>
    <row r="106" spans="1:2" x14ac:dyDescent="0.25">
      <c r="A106" s="311"/>
      <c r="B106" s="186"/>
    </row>
    <row r="107" spans="1:2" x14ac:dyDescent="0.25">
      <c r="A107" s="311"/>
      <c r="B107" s="186"/>
    </row>
    <row r="108" spans="1:2" x14ac:dyDescent="0.25">
      <c r="A108" s="311"/>
      <c r="B108" s="186"/>
    </row>
    <row r="109" spans="1:2" x14ac:dyDescent="0.25">
      <c r="A109" s="282"/>
      <c r="B109" s="186"/>
    </row>
    <row r="110" spans="1:2" x14ac:dyDescent="0.25">
      <c r="A110" s="282"/>
      <c r="B110" s="186"/>
    </row>
    <row r="111" spans="1:2" x14ac:dyDescent="0.25">
      <c r="A111" s="282"/>
      <c r="B111" s="179"/>
    </row>
    <row r="112" spans="1:2" x14ac:dyDescent="0.25">
      <c r="A112" s="282"/>
      <c r="B112" s="186"/>
    </row>
    <row r="113" spans="2:2" x14ac:dyDescent="0.25">
      <c r="B113" s="186"/>
    </row>
    <row r="114" spans="2:2" x14ac:dyDescent="0.25">
      <c r="B114" s="186"/>
    </row>
    <row r="115" spans="2:2" x14ac:dyDescent="0.25">
      <c r="B115" s="186"/>
    </row>
    <row r="116" spans="2:2" x14ac:dyDescent="0.25">
      <c r="B116" s="186"/>
    </row>
    <row r="117" spans="2:2" x14ac:dyDescent="0.25">
      <c r="B117" s="179"/>
    </row>
    <row r="118" spans="2:2" x14ac:dyDescent="0.25">
      <c r="B118" s="186"/>
    </row>
    <row r="119" spans="2:2" x14ac:dyDescent="0.25">
      <c r="B119" s="186"/>
    </row>
    <row r="120" spans="2:2" x14ac:dyDescent="0.25">
      <c r="B120" s="186"/>
    </row>
    <row r="121" spans="2:2" x14ac:dyDescent="0.25">
      <c r="B121" s="186"/>
    </row>
    <row r="122" spans="2:2" x14ac:dyDescent="0.25">
      <c r="B122" s="186"/>
    </row>
    <row r="123" spans="2:2" x14ac:dyDescent="0.25">
      <c r="B123" s="179"/>
    </row>
    <row r="124" spans="2:2" x14ac:dyDescent="0.25">
      <c r="B124" s="186"/>
    </row>
    <row r="125" spans="2:2" x14ac:dyDescent="0.25">
      <c r="B125" s="186"/>
    </row>
    <row r="126" spans="2:2" x14ac:dyDescent="0.25">
      <c r="B126" s="186"/>
    </row>
    <row r="127" spans="2:2" x14ac:dyDescent="0.25">
      <c r="B127" s="186"/>
    </row>
    <row r="128" spans="2:2" x14ac:dyDescent="0.25">
      <c r="B128" s="186"/>
    </row>
    <row r="129" spans="3:3" x14ac:dyDescent="0.25">
      <c r="C129" s="186"/>
    </row>
    <row r="130" spans="3:3" x14ac:dyDescent="0.25">
      <c r="C130" s="186"/>
    </row>
    <row r="131" spans="3:3" x14ac:dyDescent="0.25">
      <c r="C131" s="186"/>
    </row>
    <row r="132" spans="3:3" x14ac:dyDescent="0.25">
      <c r="C132" s="179"/>
    </row>
    <row r="133" spans="3:3" x14ac:dyDescent="0.25">
      <c r="C133" s="186"/>
    </row>
    <row r="134" spans="3:3" x14ac:dyDescent="0.25">
      <c r="C134" s="186"/>
    </row>
    <row r="135" spans="3:3" x14ac:dyDescent="0.25">
      <c r="C135" s="186"/>
    </row>
    <row r="136" spans="3:3" x14ac:dyDescent="0.25">
      <c r="C136" s="186"/>
    </row>
    <row r="137" spans="3:3" x14ac:dyDescent="0.25">
      <c r="C137" s="179"/>
    </row>
    <row r="138" spans="3:3" x14ac:dyDescent="0.25">
      <c r="C138" s="186"/>
    </row>
    <row r="139" spans="3:3" x14ac:dyDescent="0.25">
      <c r="C139" s="186"/>
    </row>
    <row r="140" spans="3:3" x14ac:dyDescent="0.25">
      <c r="C140" s="186"/>
    </row>
    <row r="141" spans="3:3" x14ac:dyDescent="0.25">
      <c r="C141" s="186"/>
    </row>
    <row r="142" spans="3:3" x14ac:dyDescent="0.25">
      <c r="C142" s="179"/>
    </row>
    <row r="143" spans="3:3" x14ac:dyDescent="0.25">
      <c r="C143" s="186"/>
    </row>
    <row r="144" spans="3:3" x14ac:dyDescent="0.25">
      <c r="C144" s="186"/>
    </row>
    <row r="145" spans="3:3" x14ac:dyDescent="0.25">
      <c r="C145" s="186"/>
    </row>
    <row r="146" spans="3:3" x14ac:dyDescent="0.25">
      <c r="C146" s="186"/>
    </row>
    <row r="147" spans="3:3" x14ac:dyDescent="0.25">
      <c r="C147" s="179"/>
    </row>
    <row r="148" spans="3:3" x14ac:dyDescent="0.25">
      <c r="C148" s="186"/>
    </row>
    <row r="149" spans="3:3" x14ac:dyDescent="0.25">
      <c r="C149" s="186"/>
    </row>
    <row r="150" spans="3:3" x14ac:dyDescent="0.25">
      <c r="C150" s="186"/>
    </row>
    <row r="151" spans="3:3" x14ac:dyDescent="0.25">
      <c r="C151" s="186"/>
    </row>
    <row r="152" spans="3:3" x14ac:dyDescent="0.25">
      <c r="C152" s="179"/>
    </row>
    <row r="153" spans="3:3" x14ac:dyDescent="0.25">
      <c r="C153" s="186"/>
    </row>
    <row r="154" spans="3:3" x14ac:dyDescent="0.25">
      <c r="C154" s="186"/>
    </row>
    <row r="155" spans="3:3" x14ac:dyDescent="0.25">
      <c r="C155" s="186"/>
    </row>
    <row r="156" spans="3:3" x14ac:dyDescent="0.25">
      <c r="C156" s="186"/>
    </row>
    <row r="157" spans="3:3" x14ac:dyDescent="0.25">
      <c r="C157" s="179"/>
    </row>
    <row r="158" spans="3:3" x14ac:dyDescent="0.25">
      <c r="C158" s="186"/>
    </row>
    <row r="159" spans="3:3" x14ac:dyDescent="0.25">
      <c r="C159" s="186"/>
    </row>
    <row r="160" spans="3:3" x14ac:dyDescent="0.25">
      <c r="C160" s="186"/>
    </row>
    <row r="161" spans="3:3" x14ac:dyDescent="0.25">
      <c r="C161" s="186"/>
    </row>
    <row r="162" spans="3:3" x14ac:dyDescent="0.25">
      <c r="C162" s="179"/>
    </row>
    <row r="163" spans="3:3" x14ac:dyDescent="0.25">
      <c r="C163" s="186"/>
    </row>
    <row r="164" spans="3:3" x14ac:dyDescent="0.25">
      <c r="C164" s="186"/>
    </row>
    <row r="165" spans="3:3" x14ac:dyDescent="0.25">
      <c r="C165" s="186"/>
    </row>
    <row r="166" spans="3:3" x14ac:dyDescent="0.25">
      <c r="C166" s="186"/>
    </row>
    <row r="167" spans="3:3" x14ac:dyDescent="0.25">
      <c r="C167" s="179"/>
    </row>
    <row r="168" spans="3:3" x14ac:dyDescent="0.25">
      <c r="C168" s="187"/>
    </row>
    <row r="169" spans="3:3" x14ac:dyDescent="0.25">
      <c r="C169" s="187"/>
    </row>
    <row r="170" spans="3:3" x14ac:dyDescent="0.25">
      <c r="C170" s="187"/>
    </row>
    <row r="171" spans="3:3" x14ac:dyDescent="0.25">
      <c r="C171" s="187"/>
    </row>
    <row r="172" spans="3:3" x14ac:dyDescent="0.25">
      <c r="C172" s="179"/>
    </row>
    <row r="173" spans="3:3" x14ac:dyDescent="0.25">
      <c r="C173" s="187"/>
    </row>
    <row r="174" spans="3:3" x14ac:dyDescent="0.25">
      <c r="C174" s="187"/>
    </row>
    <row r="175" spans="3:3" x14ac:dyDescent="0.25">
      <c r="C175" s="187"/>
    </row>
    <row r="176" spans="3:3" x14ac:dyDescent="0.25">
      <c r="C176" s="187"/>
    </row>
    <row r="177" spans="3:3" x14ac:dyDescent="0.25">
      <c r="C177" s="179"/>
    </row>
    <row r="178" spans="3:3" x14ac:dyDescent="0.25">
      <c r="C178" s="187"/>
    </row>
    <row r="179" spans="3:3" x14ac:dyDescent="0.25">
      <c r="C179" s="187"/>
    </row>
    <row r="180" spans="3:3" x14ac:dyDescent="0.25">
      <c r="C180" s="187"/>
    </row>
    <row r="181" spans="3:3" x14ac:dyDescent="0.25">
      <c r="C181" s="18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2ABDA6886CF6498653E646AB2571ED" ma:contentTypeVersion="16" ma:contentTypeDescription="Create a new document." ma:contentTypeScope="" ma:versionID="feb2c5ef200143b90f0b07231141d1ea">
  <xsd:schema xmlns:xsd="http://www.w3.org/2001/XMLSchema" xmlns:xs="http://www.w3.org/2001/XMLSchema" xmlns:p="http://schemas.microsoft.com/office/2006/metadata/properties" xmlns:ns2="6ba73c8a-1af7-4183-b158-1cd1291da2b6" xmlns:ns3="8c89d0e4-a8d9-42ba-a773-c59a56f7723e" targetNamespace="http://schemas.microsoft.com/office/2006/metadata/properties" ma:root="true" ma:fieldsID="cb6e695611f8519c80c089278c6250c4" ns2:_="" ns3:_="">
    <xsd:import namespace="6ba73c8a-1af7-4183-b158-1cd1291da2b6"/>
    <xsd:import namespace="8c89d0e4-a8d9-42ba-a773-c59a56f772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73c8a-1af7-4183-b158-1cd1291da2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48f9566-069b-479b-843d-4f6c74a4a3f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89d0e4-a8d9-42ba-a773-c59a56f7723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b20a6b64-fbb8-4bf5-b941-ddf64427d44d}" ma:internalName="TaxCatchAll" ma:showField="CatchAllData" ma:web="8c89d0e4-a8d9-42ba-a773-c59a56f772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a73c8a-1af7-4183-b158-1cd1291da2b6">
      <Terms xmlns="http://schemas.microsoft.com/office/infopath/2007/PartnerControls"/>
    </lcf76f155ced4ddcb4097134ff3c332f>
    <TaxCatchAll xmlns="8c89d0e4-a8d9-42ba-a773-c59a56f7723e" xsi:nil="true"/>
  </documentManagement>
</p:properties>
</file>

<file path=customXml/itemProps1.xml><?xml version="1.0" encoding="utf-8"?>
<ds:datastoreItem xmlns:ds="http://schemas.openxmlformats.org/officeDocument/2006/customXml" ds:itemID="{2ABD9DA4-55F3-4EE0-9C14-EE5790384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73c8a-1af7-4183-b158-1cd1291da2b6"/>
    <ds:schemaRef ds:uri="8c89d0e4-a8d9-42ba-a773-c59a56f77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200C5C-E6C6-4972-9271-0D45013BAB28}">
  <ds:schemaRefs>
    <ds:schemaRef ds:uri="http://schemas.microsoft.com/sharepoint/v3/contenttype/forms"/>
  </ds:schemaRefs>
</ds:datastoreItem>
</file>

<file path=customXml/itemProps3.xml><?xml version="1.0" encoding="utf-8"?>
<ds:datastoreItem xmlns:ds="http://schemas.openxmlformats.org/officeDocument/2006/customXml" ds:itemID="{F3479B1E-23BE-43AB-BE0A-883F73D6B8C3}">
  <ds:schemaRefs>
    <ds:schemaRef ds:uri="http://schemas.microsoft.com/office/2006/documentManagement/types"/>
    <ds:schemaRef ds:uri="http://schemas.microsoft.com/office/infopath/2007/PartnerControls"/>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8c89d0e4-a8d9-42ba-a773-c59a56f7723e"/>
    <ds:schemaRef ds:uri="6ba73c8a-1af7-4183-b158-1cd1291da2b6"/>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DCF</vt:lpstr>
      <vt:lpstr>TradingComps</vt:lpstr>
      <vt:lpstr>DCF Support</vt:lpstr>
      <vt:lpstr>WACC</vt:lpstr>
      <vt:lpstr>Figures</vt:lpstr>
      <vt:lpstr>Historicals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Raul Vasconcelos</dc:creator>
  <cp:keywords/>
  <dc:description/>
  <cp:lastModifiedBy>Raul Vasconcelos da Silva</cp:lastModifiedBy>
  <cp:revision/>
  <dcterms:created xsi:type="dcterms:W3CDTF">2024-10-19T17:32:35Z</dcterms:created>
  <dcterms:modified xsi:type="dcterms:W3CDTF">2025-11-06T10:52:45Z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0x010100162ABDA6886CF6498653E646AB2571ED</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MediaServiceImageTags">
    <vt:lpwstr/>
  </property>
  <property fmtid="{D5CDD505-2E9C-101B-9397-08002B2CF9AE}" pid="10" name="Order">
    <vt:r8>44700</vt:r8>
  </property>
</Properties>
</file>